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8.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8.xml" ContentType="application/vnd.openxmlformats-officedocument.spreadsheetml.comments+xml"/>
  <Override PartName="/xl/comments10.xml" ContentType="application/vnd.openxmlformats-officedocument.spreadsheetml.comments+xml"/>
  <Override PartName="/xl/comments7.xml" ContentType="application/vnd.openxmlformats-officedocument.spreadsheetml.comments+xml"/>
  <Override PartName="/xl/comments11.xml" ContentType="application/vnd.openxmlformats-officedocument.spreadsheetml.comments+xml"/>
  <Override PartName="/xl/comments9.xml" ContentType="application/vnd.openxmlformats-officedocument.spreadsheetml.comments+xml"/>
  <Override PartName="/xl/comments12.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5.xml" ContentType="application/vnd.openxmlformats-officedocument.spreadsheetml.comment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Pham Thi Khanh Linh\Downloads\"/>
    </mc:Choice>
  </mc:AlternateContent>
  <xr:revisionPtr revIDLastSave="0" documentId="8_{D73E3CBE-DB7A-41D1-9E42-BB1870949517}" xr6:coauthVersionLast="47" xr6:coauthVersionMax="47" xr10:uidLastSave="{00000000-0000-0000-0000-000000000000}"/>
  <bookViews>
    <workbookView xWindow="-120" yWindow="-120" windowWidth="29040" windowHeight="15840" tabRatio="728" firstSheet="2" activeTab="2" xr2:uid="{00000000-000D-0000-FFFF-FFFF00000000}"/>
  </bookViews>
  <sheets>
    <sheet name="Tong quat" sheetId="1" r:id="rId1"/>
    <sheet name="BCTaiSan_06134" sheetId="2" r:id="rId2"/>
    <sheet name="BCKetQuaHoatDong_06135" sheetId="3" r:id="rId3"/>
    <sheet name="BCDanhMucDauTu_06136" sheetId="4" r:id="rId4"/>
    <sheet name="BCHDVay_GDMuaBanLai" sheetId="5" r:id="rId5"/>
    <sheet name="Khac_06137" sheetId="6" r:id="rId6"/>
    <sheet name="ThongKePhiGiaoDich_06145" sheetId="7" r:id="rId7"/>
    <sheet name="TKGD_BDS" sheetId="8" r:id="rId8"/>
    <sheet name="HanMucTuDoanh_DTGTNN" sheetId="9" r:id="rId9"/>
    <sheet name="BCTaiSan_DTGTNN" sheetId="10" r:id="rId10"/>
    <sheet name="KetQuaHoatDong_DTGTNN" sheetId="11" r:id="rId11"/>
    <sheet name="DanhMucTaiSan_DTGTNN" sheetId="12" r:id="rId12"/>
    <sheet name="PhanHoiNHGS_06276" sheetId="13" r:id="rId13"/>
    <sheet name="SheetHidden" sheetId="14" state="hidden" r:id="rId14"/>
  </sheets>
  <calcPr calcId="191029"/>
</workbook>
</file>

<file path=xl/calcChain.xml><?xml version="1.0" encoding="utf-8"?>
<calcChain xmlns="http://schemas.openxmlformats.org/spreadsheetml/2006/main">
  <c r="A1" i="14" l="1"/>
  <c r="A2" i="14"/>
  <c r="A3"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3" authorId="0" shapeId="0" xr:uid="{00000000-0006-0000-0100-000001000000}">
      <text>
        <r>
          <rPr>
            <sz val="10"/>
            <rFont val="Arial"/>
            <family val="2"/>
          </rPr>
          <t>Ô chỉ tiêu có định dạng số. Đơn vị tính x 1 (hoặc %)</t>
        </r>
      </text>
    </comment>
    <comment ref="E3" authorId="0" shapeId="0" xr:uid="{00000000-0006-0000-0100-000002000000}">
      <text>
        <r>
          <rPr>
            <sz val="10"/>
            <rFont val="Arial"/>
            <family val="2"/>
          </rPr>
          <t>Ô chỉ tiêu có định dạng số. Đơn vị tính x 1 (hoặc %)</t>
        </r>
      </text>
    </comment>
    <comment ref="F3" authorId="0" shapeId="0" xr:uid="{00000000-0006-0000-0100-000003000000}">
      <text>
        <r>
          <rPr>
            <sz val="10"/>
            <rFont val="Arial"/>
            <family val="2"/>
          </rPr>
          <t>Ô chỉ tiêu có định dạng số. Đơn vị tính x 1 (hoặc %)</t>
        </r>
      </text>
    </comment>
    <comment ref="D4" authorId="0" shapeId="0" xr:uid="{00000000-0006-0000-0100-000004000000}">
      <text>
        <r>
          <rPr>
            <sz val="10"/>
            <rFont val="Arial"/>
            <family val="2"/>
          </rPr>
          <t>Ô chỉ tiêu có định dạng số. Đơn vị tính x 1 (hoặc %)</t>
        </r>
      </text>
    </comment>
    <comment ref="E4" authorId="0" shapeId="0" xr:uid="{00000000-0006-0000-0100-000005000000}">
      <text>
        <r>
          <rPr>
            <sz val="10"/>
            <rFont val="Arial"/>
            <family val="2"/>
          </rPr>
          <t>Ô chỉ tiêu có định dạng số. Đơn vị tính x 1 (hoặc %)</t>
        </r>
      </text>
    </comment>
    <comment ref="F4" authorId="0" shapeId="0" xr:uid="{00000000-0006-0000-0100-000006000000}">
      <text>
        <r>
          <rPr>
            <sz val="10"/>
            <rFont val="Arial"/>
            <family val="2"/>
          </rPr>
          <t>Ô chỉ tiêu có định dạng số. Đơn vị tính x 1 (hoặc %)</t>
        </r>
      </text>
    </comment>
    <comment ref="A6" authorId="0" shapeId="0" xr:uid="{00000000-0006-0000-0100-000007000000}">
      <text>
        <r>
          <rPr>
            <sz val="10"/>
            <rFont val="Arial"/>
            <family val="2"/>
          </rPr>
          <t>Ô chỉ tiêu có định dạng ký tự
Dữ liệu động đầu vào hợp lệ khi chỉ được thêm dòng trên ô này.</t>
        </r>
      </text>
    </comment>
    <comment ref="B6" authorId="0" shapeId="0" xr:uid="{00000000-0006-0000-0100-000008000000}">
      <text>
        <r>
          <rPr>
            <sz val="10"/>
            <rFont val="Arial"/>
            <family val="2"/>
          </rPr>
          <t>Ô chỉ tiêu có định dạng ký tự
Dữ liệu động đầu vào hợp lệ khi chỉ được thêm dòng trên ô này.</t>
        </r>
      </text>
    </comment>
    <comment ref="C6" authorId="0" shapeId="0" xr:uid="{00000000-0006-0000-0100-000009000000}">
      <text>
        <r>
          <rPr>
            <sz val="10"/>
            <rFont val="Arial"/>
            <family val="2"/>
          </rPr>
          <t>Ô chỉ tiêu có định dạng ký tự
Dữ liệu động đầu vào hợp lệ khi chỉ được thêm dòng trên ô này.</t>
        </r>
      </text>
    </comment>
    <comment ref="D6" authorId="0" shapeId="0" xr:uid="{00000000-0006-0000-0100-00000A000000}">
      <text>
        <r>
          <rPr>
            <sz val="10"/>
            <rFont val="Arial"/>
            <family val="2"/>
          </rPr>
          <t>Ô chỉ tiêu có định dạng số. Đơn vị tính x 1 (hoặc %)</t>
        </r>
      </text>
    </comment>
    <comment ref="E6" authorId="0" shapeId="0" xr:uid="{00000000-0006-0000-0100-00000B000000}">
      <text>
        <r>
          <rPr>
            <sz val="10"/>
            <rFont val="Arial"/>
            <family val="2"/>
          </rPr>
          <t>Ô chỉ tiêu có định dạng số. Đơn vị tính x 1 (hoặc %)</t>
        </r>
      </text>
    </comment>
    <comment ref="F6" authorId="0" shapeId="0" xr:uid="{00000000-0006-0000-0100-00000C000000}">
      <text>
        <r>
          <rPr>
            <sz val="10"/>
            <rFont val="Arial"/>
            <family val="2"/>
          </rPr>
          <t>Ô chỉ tiêu có định dạng số. Đơn vị tính x 1 (hoặc %)</t>
        </r>
      </text>
    </comment>
    <comment ref="A8" authorId="0" shapeId="0" xr:uid="{00000000-0006-0000-0100-00000D000000}">
      <text>
        <r>
          <rPr>
            <sz val="10"/>
            <rFont val="Arial"/>
            <family val="2"/>
          </rPr>
          <t>Ô chỉ tiêu có định dạng ký tự
Dữ liệu động đầu vào hợp lệ khi chỉ được thêm dòng trên ô này.</t>
        </r>
      </text>
    </comment>
    <comment ref="B8" authorId="0" shapeId="0" xr:uid="{00000000-0006-0000-0100-00000E000000}">
      <text>
        <r>
          <rPr>
            <sz val="10"/>
            <rFont val="Arial"/>
            <family val="2"/>
          </rPr>
          <t>Ô chỉ tiêu có định dạng ký tự
Dữ liệu động đầu vào hợp lệ khi chỉ được thêm dòng trên ô này.</t>
        </r>
      </text>
    </comment>
    <comment ref="C8" authorId="0" shapeId="0" xr:uid="{00000000-0006-0000-0100-00000F000000}">
      <text>
        <r>
          <rPr>
            <sz val="10"/>
            <rFont val="Arial"/>
            <family val="2"/>
          </rPr>
          <t>Ô chỉ tiêu có định dạng ký tự
Dữ liệu động đầu vào hợp lệ khi chỉ được thêm dòng trên ô này.</t>
        </r>
      </text>
    </comment>
    <comment ref="D8" authorId="0" shapeId="0" xr:uid="{00000000-0006-0000-0100-000010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100-000011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100-000012000000}">
      <text>
        <r>
          <rPr>
            <sz val="10"/>
            <rFont val="Arial"/>
            <family val="2"/>
          </rPr>
          <t>Ô chỉ tiêu có định dạng số. Đơn vị tính x 1 (hoặc %)
Dữ liệu động đầu vào hợp lệ khi chỉ được thêm dòng trên ô này.</t>
        </r>
      </text>
    </comment>
    <comment ref="D9" authorId="0" shapeId="0" xr:uid="{00000000-0006-0000-0100-000013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100-000014000000}">
      <text>
        <r>
          <rPr>
            <sz val="10"/>
            <rFont val="Arial"/>
            <family val="2"/>
          </rPr>
          <t>Ô chỉ tiêu có định dạng số. Đơn vị tính x 1 (hoặc %)</t>
        </r>
      </text>
    </comment>
    <comment ref="F9" authorId="0" shapeId="0" xr:uid="{00000000-0006-0000-0100-000015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100-000016000000}">
      <text>
        <r>
          <rPr>
            <sz val="10"/>
            <rFont val="Arial"/>
            <family val="2"/>
          </rPr>
          <t>Ô chỉ tiêu có định dạng ký tự
Dữ liệu động đầu vào hợp lệ khi chỉ được thêm dòng trên ô này.</t>
        </r>
      </text>
    </comment>
    <comment ref="B11" authorId="0" shapeId="0" xr:uid="{00000000-0006-0000-0100-000017000000}">
      <text>
        <r>
          <rPr>
            <sz val="10"/>
            <rFont val="Arial"/>
            <family val="2"/>
          </rPr>
          <t>Ô chỉ tiêu có định dạng ký tự
Dữ liệu động đầu vào hợp lệ khi chỉ được thêm dòng trên ô này.</t>
        </r>
      </text>
    </comment>
    <comment ref="C11" authorId="0" shapeId="0" xr:uid="{00000000-0006-0000-0100-000018000000}">
      <text>
        <r>
          <rPr>
            <sz val="10"/>
            <rFont val="Arial"/>
            <family val="2"/>
          </rPr>
          <t>Ô chỉ tiêu có định dạng ký tự
Dữ liệu động đầu vào hợp lệ khi chỉ được thêm dòng trên ô này.</t>
        </r>
      </text>
    </comment>
    <comment ref="D11" authorId="0" shapeId="0" xr:uid="{00000000-0006-0000-0100-000019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100-00001A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100-00001B000000}">
      <text>
        <r>
          <rPr>
            <sz val="10"/>
            <rFont val="Arial"/>
            <family val="2"/>
          </rPr>
          <t>Ô chỉ tiêu có định dạng số. Đơn vị tính x 1 (hoặc %)
Dữ liệu động đầu vào hợp lệ khi chỉ được thêm dòng trên ô này.</t>
        </r>
      </text>
    </comment>
    <comment ref="D12" authorId="0" shapeId="0" xr:uid="{00000000-0006-0000-0100-00001C000000}">
      <text>
        <r>
          <rPr>
            <sz val="10"/>
            <rFont val="Arial"/>
            <family val="2"/>
          </rPr>
          <t>Ô chỉ tiêu có định dạng số. Đơn vị tính x 1 (hoặc %)</t>
        </r>
      </text>
    </comment>
    <comment ref="E12" authorId="0" shapeId="0" xr:uid="{00000000-0006-0000-0100-00001D000000}">
      <text>
        <r>
          <rPr>
            <sz val="10"/>
            <rFont val="Arial"/>
            <family val="2"/>
          </rPr>
          <t>Ô chỉ tiêu có định dạng số. Đơn vị tính x 1 (hoặc %)</t>
        </r>
      </text>
    </comment>
    <comment ref="F12" authorId="0" shapeId="0" xr:uid="{00000000-0006-0000-0100-00001E000000}">
      <text>
        <r>
          <rPr>
            <sz val="10"/>
            <rFont val="Arial"/>
            <family val="2"/>
          </rPr>
          <t>Ô chỉ tiêu có định dạng số. Đơn vị tính x 1 (hoặc %)</t>
        </r>
      </text>
    </comment>
    <comment ref="A14" authorId="0" shapeId="0" xr:uid="{00000000-0006-0000-0100-00001F000000}">
      <text>
        <r>
          <rPr>
            <sz val="10"/>
            <rFont val="Arial"/>
            <family val="2"/>
          </rPr>
          <t>Ô chỉ tiêu có định dạng ký tự
Dữ liệu động đầu vào hợp lệ khi chỉ được thêm dòng trên ô này.</t>
        </r>
      </text>
    </comment>
    <comment ref="B14" authorId="0" shapeId="0" xr:uid="{00000000-0006-0000-0100-000020000000}">
      <text>
        <r>
          <rPr>
            <sz val="10"/>
            <rFont val="Arial"/>
            <family val="2"/>
          </rPr>
          <t>Ô chỉ tiêu có định dạng ký tự
Dữ liệu động đầu vào hợp lệ khi chỉ được thêm dòng trên ô này.</t>
        </r>
      </text>
    </comment>
    <comment ref="C14" authorId="0" shapeId="0" xr:uid="{00000000-0006-0000-0100-000021000000}">
      <text>
        <r>
          <rPr>
            <sz val="10"/>
            <rFont val="Arial"/>
            <family val="2"/>
          </rPr>
          <t>Ô chỉ tiêu có định dạng ký tự
Dữ liệu động đầu vào hợp lệ khi chỉ được thêm dòng trên ô này.</t>
        </r>
      </text>
    </comment>
    <comment ref="D14" authorId="0" shapeId="0" xr:uid="{00000000-0006-0000-0100-000022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100-000023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100-000024000000}">
      <text>
        <r>
          <rPr>
            <sz val="10"/>
            <rFont val="Arial"/>
            <family val="2"/>
          </rPr>
          <t>Ô chỉ tiêu có định dạng số. Đơn vị tính x 1 (hoặc %)</t>
        </r>
      </text>
    </comment>
    <comment ref="A16" authorId="0" shapeId="0" xr:uid="{00000000-0006-0000-0100-000025000000}">
      <text>
        <r>
          <rPr>
            <sz val="10"/>
            <rFont val="Arial"/>
            <family val="2"/>
          </rPr>
          <t>Ô chỉ tiêu có định dạng ký tự
Dữ liệu động đầu vào hợp lệ khi chỉ được thêm dòng trên ô này.</t>
        </r>
      </text>
    </comment>
    <comment ref="B16" authorId="0" shapeId="0" xr:uid="{00000000-0006-0000-0100-000026000000}">
      <text>
        <r>
          <rPr>
            <sz val="10"/>
            <rFont val="Arial"/>
            <family val="2"/>
          </rPr>
          <t>Ô chỉ tiêu có định dạng ký tự
Dữ liệu động đầu vào hợp lệ khi chỉ được thêm dòng trên ô này.</t>
        </r>
      </text>
    </comment>
    <comment ref="C16" authorId="0" shapeId="0" xr:uid="{00000000-0006-0000-0100-000027000000}">
      <text>
        <r>
          <rPr>
            <sz val="10"/>
            <rFont val="Arial"/>
            <family val="2"/>
          </rPr>
          <t>Ô chỉ tiêu có định dạng ký tự
Dữ liệu động đầu vào hợp lệ khi chỉ được thêm dòng trên ô này.</t>
        </r>
      </text>
    </comment>
    <comment ref="D16" authorId="0" shapeId="0" xr:uid="{00000000-0006-0000-0100-000028000000}">
      <text>
        <r>
          <rPr>
            <sz val="10"/>
            <rFont val="Arial"/>
            <family val="2"/>
          </rPr>
          <t>Ô chỉ tiêu có định dạng số. Đơn vị tính x 1 (hoặc %)
Dữ liệu động đầu vào hợp lệ khi chỉ được thêm dòng trên ô này.</t>
        </r>
      </text>
    </comment>
    <comment ref="E16" authorId="0" shapeId="0" xr:uid="{00000000-0006-0000-0100-000029000000}">
      <text>
        <r>
          <rPr>
            <sz val="10"/>
            <rFont val="Arial"/>
            <family val="2"/>
          </rPr>
          <t>Ô chỉ tiêu có định dạng số. Đơn vị tính x 1 (hoặc %)
Dữ liệu động đầu vào hợp lệ khi chỉ được thêm dòng trên ô này.</t>
        </r>
      </text>
    </comment>
    <comment ref="F16" authorId="0" shapeId="0" xr:uid="{00000000-0006-0000-0100-00002A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100-00002B000000}">
      <text>
        <r>
          <rPr>
            <sz val="10"/>
            <rFont val="Arial"/>
            <family val="2"/>
          </rPr>
          <t>Ô chỉ tiêu có định dạng số. Đơn vị tính x 1 (hoặc %)</t>
        </r>
      </text>
    </comment>
    <comment ref="E17" authorId="0" shapeId="0" xr:uid="{00000000-0006-0000-0100-00002C000000}">
      <text>
        <r>
          <rPr>
            <sz val="10"/>
            <rFont val="Arial"/>
            <family val="2"/>
          </rPr>
          <t>Ô chỉ tiêu có định dạng số. Đơn vị tính x 1 (hoặc %)</t>
        </r>
      </text>
    </comment>
    <comment ref="F17" authorId="0" shapeId="0" xr:uid="{00000000-0006-0000-0100-00002D000000}">
      <text>
        <r>
          <rPr>
            <sz val="10"/>
            <rFont val="Arial"/>
            <family val="2"/>
          </rPr>
          <t>Ô chỉ tiêu có định dạng số. Đơn vị tính x 1 (hoặc %)</t>
        </r>
      </text>
    </comment>
    <comment ref="A19" authorId="0" shapeId="0" xr:uid="{00000000-0006-0000-0100-00002E000000}">
      <text>
        <r>
          <rPr>
            <sz val="10"/>
            <rFont val="Arial"/>
            <family val="2"/>
          </rPr>
          <t>Ô chỉ tiêu có định dạng ký tự
Dữ liệu động đầu vào hợp lệ khi chỉ được thêm dòng trên ô này.</t>
        </r>
      </text>
    </comment>
    <comment ref="B19" authorId="0" shapeId="0" xr:uid="{00000000-0006-0000-0100-00002F000000}">
      <text>
        <r>
          <rPr>
            <sz val="10"/>
            <rFont val="Arial"/>
            <family val="2"/>
          </rPr>
          <t>Ô chỉ tiêu có định dạng ký tự
Dữ liệu động đầu vào hợp lệ khi chỉ được thêm dòng trên ô này.</t>
        </r>
      </text>
    </comment>
    <comment ref="C19" authorId="0" shapeId="0" xr:uid="{00000000-0006-0000-0100-000030000000}">
      <text>
        <r>
          <rPr>
            <sz val="10"/>
            <rFont val="Arial"/>
            <family val="2"/>
          </rPr>
          <t>Ô chỉ tiêu có định dạng ký tự
Dữ liệu động đầu vào hợp lệ khi chỉ được thêm dòng trên ô này.</t>
        </r>
      </text>
    </comment>
    <comment ref="D19" authorId="0" shapeId="0" xr:uid="{00000000-0006-0000-0100-000031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100-000032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100-000033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100-000034000000}">
      <text>
        <r>
          <rPr>
            <sz val="10"/>
            <rFont val="Arial"/>
            <family val="2"/>
          </rPr>
          <t>Ô chỉ tiêu có định dạng số. Đơn vị tính x 1 (hoặc %)</t>
        </r>
      </text>
    </comment>
    <comment ref="E20" authorId="0" shapeId="0" xr:uid="{00000000-0006-0000-0100-000035000000}">
      <text>
        <r>
          <rPr>
            <sz val="10"/>
            <rFont val="Arial"/>
            <family val="2"/>
          </rPr>
          <t>Ô chỉ tiêu có định dạng số. Đơn vị tính x 1 (hoặc %)</t>
        </r>
      </text>
    </comment>
    <comment ref="F20" authorId="0" shapeId="0" xr:uid="{00000000-0006-0000-0100-000036000000}">
      <text>
        <r>
          <rPr>
            <sz val="10"/>
            <rFont val="Arial"/>
            <family val="2"/>
          </rPr>
          <t>Ô chỉ tiêu có định dạng số. Đơn vị tính x 1 (hoặc %)</t>
        </r>
      </text>
    </comment>
    <comment ref="A22" authorId="0" shapeId="0" xr:uid="{00000000-0006-0000-0100-000037000000}">
      <text>
        <r>
          <rPr>
            <sz val="10"/>
            <rFont val="Arial"/>
            <family val="2"/>
          </rPr>
          <t>Ô chỉ tiêu có định dạng ký tự
Dữ liệu động đầu vào hợp lệ khi chỉ được thêm dòng trên ô này.</t>
        </r>
      </text>
    </comment>
    <comment ref="B22" authorId="0" shapeId="0" xr:uid="{00000000-0006-0000-0100-000038000000}">
      <text>
        <r>
          <rPr>
            <sz val="10"/>
            <rFont val="Arial"/>
            <family val="2"/>
          </rPr>
          <t>Ô chỉ tiêu có định dạng ký tự
Dữ liệu động đầu vào hợp lệ khi chỉ được thêm dòng trên ô này.</t>
        </r>
      </text>
    </comment>
    <comment ref="C22" authorId="0" shapeId="0" xr:uid="{00000000-0006-0000-0100-000039000000}">
      <text>
        <r>
          <rPr>
            <sz val="10"/>
            <rFont val="Arial"/>
            <family val="2"/>
          </rPr>
          <t>Ô chỉ tiêu có định dạng ký tự
Dữ liệu động đầu vào hợp lệ khi chỉ được thêm dòng trên ô này.</t>
        </r>
      </text>
    </comment>
    <comment ref="D22" authorId="0" shapeId="0" xr:uid="{00000000-0006-0000-0100-00003A000000}">
      <text>
        <r>
          <rPr>
            <sz val="10"/>
            <rFont val="Arial"/>
            <family val="2"/>
          </rPr>
          <t>Ô chỉ tiêu có định dạng số. Đơn vị tính x 1 (hoặc %)</t>
        </r>
      </text>
    </comment>
    <comment ref="E22" authorId="0" shapeId="0" xr:uid="{00000000-0006-0000-0100-00003B000000}">
      <text>
        <r>
          <rPr>
            <sz val="10"/>
            <rFont val="Arial"/>
            <family val="2"/>
          </rPr>
          <t>Ô chỉ tiêu có định dạng số. Đơn vị tính x 1 (hoặc %)</t>
        </r>
      </text>
    </comment>
    <comment ref="F22" authorId="0" shapeId="0" xr:uid="{00000000-0006-0000-0100-00003C000000}">
      <text>
        <r>
          <rPr>
            <sz val="10"/>
            <rFont val="Arial"/>
            <family val="2"/>
          </rPr>
          <t>Ô chỉ tiêu có định dạng số. Đơn vị tính x 1 (hoặc %)</t>
        </r>
      </text>
    </comment>
    <comment ref="A24" authorId="0" shapeId="0" xr:uid="{00000000-0006-0000-0100-00003D000000}">
      <text>
        <r>
          <rPr>
            <sz val="10"/>
            <rFont val="Arial"/>
            <family val="2"/>
          </rPr>
          <t>Ô chỉ tiêu có định dạng ký tự
Dữ liệu động đầu vào hợp lệ khi chỉ được thêm dòng trên ô này.</t>
        </r>
      </text>
    </comment>
    <comment ref="B24" authorId="0" shapeId="0" xr:uid="{00000000-0006-0000-0100-00003E000000}">
      <text>
        <r>
          <rPr>
            <sz val="10"/>
            <rFont val="Arial"/>
            <family val="2"/>
          </rPr>
          <t>Ô chỉ tiêu có định dạng ký tự
Dữ liệu động đầu vào hợp lệ khi chỉ được thêm dòng trên ô này.</t>
        </r>
      </text>
    </comment>
    <comment ref="C24" authorId="0" shapeId="0" xr:uid="{00000000-0006-0000-0100-00003F000000}">
      <text>
        <r>
          <rPr>
            <sz val="10"/>
            <rFont val="Arial"/>
            <family val="2"/>
          </rPr>
          <t>Ô chỉ tiêu có định dạng ký tự
Dữ liệu động đầu vào hợp lệ khi chỉ được thêm dòng trên ô này.</t>
        </r>
      </text>
    </comment>
    <comment ref="D24" authorId="0" shapeId="0" xr:uid="{00000000-0006-0000-0100-000040000000}">
      <text>
        <r>
          <rPr>
            <sz val="10"/>
            <rFont val="Arial"/>
            <family val="2"/>
          </rPr>
          <t>Ô chỉ tiêu có định dạng số. Đơn vị tính x 1 (hoặc %)</t>
        </r>
      </text>
    </comment>
    <comment ref="E24" authorId="0" shapeId="0" xr:uid="{00000000-0006-0000-0100-000041000000}">
      <text>
        <r>
          <rPr>
            <sz val="10"/>
            <rFont val="Arial"/>
            <family val="2"/>
          </rPr>
          <t>Ô chỉ tiêu có định dạng số. Đơn vị tính x 1 (hoặc %)</t>
        </r>
      </text>
    </comment>
    <comment ref="F24" authorId="0" shapeId="0" xr:uid="{00000000-0006-0000-0100-000042000000}">
      <text>
        <r>
          <rPr>
            <sz val="10"/>
            <rFont val="Arial"/>
            <family val="2"/>
          </rPr>
          <t>Ô chỉ tiêu có định dạng số. Đơn vị tính x 1 (hoặc %)</t>
        </r>
      </text>
    </comment>
    <comment ref="A26" authorId="0" shapeId="0" xr:uid="{00000000-0006-0000-0100-000043000000}">
      <text>
        <r>
          <rPr>
            <sz val="10"/>
            <rFont val="Arial"/>
            <family val="2"/>
          </rPr>
          <t>Ô chỉ tiêu có định dạng ký tự
Dữ liệu động đầu vào hợp lệ khi chỉ được thêm dòng trên ô này.</t>
        </r>
      </text>
    </comment>
    <comment ref="B26" authorId="0" shapeId="0" xr:uid="{00000000-0006-0000-0100-000044000000}">
      <text>
        <r>
          <rPr>
            <sz val="10"/>
            <rFont val="Arial"/>
            <family val="2"/>
          </rPr>
          <t>Ô chỉ tiêu có định dạng ký tự
Dữ liệu động đầu vào hợp lệ khi chỉ được thêm dòng trên ô này.</t>
        </r>
      </text>
    </comment>
    <comment ref="C26" authorId="0" shapeId="0" xr:uid="{00000000-0006-0000-0100-000045000000}">
      <text>
        <r>
          <rPr>
            <sz val="10"/>
            <rFont val="Arial"/>
            <family val="2"/>
          </rPr>
          <t>Ô chỉ tiêu có định dạng ký tự
Dữ liệu động đầu vào hợp lệ khi chỉ được thêm dòng trên ô này.</t>
        </r>
      </text>
    </comment>
    <comment ref="D26" authorId="0" shapeId="0" xr:uid="{00000000-0006-0000-0100-000046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100-000047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100-000048000000}">
      <text>
        <r>
          <rPr>
            <sz val="10"/>
            <rFont val="Arial"/>
            <family val="2"/>
          </rPr>
          <t>Ô chỉ tiêu có định dạng số. Đơn vị tính x 1 (hoặc %)
Dữ liệu động đầu vào hợp lệ khi chỉ được thêm dòng trên ô này.</t>
        </r>
      </text>
    </comment>
    <comment ref="D27" authorId="0" shapeId="0" xr:uid="{00000000-0006-0000-0100-000049000000}">
      <text>
        <r>
          <rPr>
            <sz val="10"/>
            <rFont val="Arial"/>
            <family val="2"/>
          </rPr>
          <t>Ô chỉ tiêu có định dạng số. Đơn vị tính x 1 (hoặc %)</t>
        </r>
      </text>
    </comment>
    <comment ref="E27" authorId="0" shapeId="0" xr:uid="{00000000-0006-0000-0100-00004A000000}">
      <text>
        <r>
          <rPr>
            <sz val="10"/>
            <rFont val="Arial"/>
            <family val="2"/>
          </rPr>
          <t>Ô chỉ tiêu có định dạng số. Đơn vị tính x 1 (hoặc %)</t>
        </r>
      </text>
    </comment>
    <comment ref="F27" authorId="0" shapeId="0" xr:uid="{00000000-0006-0000-0100-00004B000000}">
      <text>
        <r>
          <rPr>
            <sz val="10"/>
            <rFont val="Arial"/>
            <family val="2"/>
          </rPr>
          <t>Ô chỉ tiêu có định dạng số. Đơn vị tính x 1 (hoặc %)</t>
        </r>
      </text>
    </comment>
    <comment ref="A29" authorId="0" shapeId="0" xr:uid="{00000000-0006-0000-0100-00004C000000}">
      <text>
        <r>
          <rPr>
            <sz val="10"/>
            <rFont val="Arial"/>
            <family val="2"/>
          </rPr>
          <t>Ô chỉ tiêu có định dạng ký tự
Dữ liệu động đầu vào hợp lệ khi chỉ được thêm dòng trên ô này.</t>
        </r>
      </text>
    </comment>
    <comment ref="B29" authorId="0" shapeId="0" xr:uid="{00000000-0006-0000-0100-00004D000000}">
      <text>
        <r>
          <rPr>
            <sz val="10"/>
            <rFont val="Arial"/>
            <family val="2"/>
          </rPr>
          <t>Ô chỉ tiêu có định dạng ký tự
Dữ liệu động đầu vào hợp lệ khi chỉ được thêm dòng trên ô này.</t>
        </r>
      </text>
    </comment>
    <comment ref="C29" authorId="0" shapeId="0" xr:uid="{00000000-0006-0000-0100-00004E000000}">
      <text>
        <r>
          <rPr>
            <sz val="10"/>
            <rFont val="Arial"/>
            <family val="2"/>
          </rPr>
          <t>Ô chỉ tiêu có định dạng ký tự
Dữ liệu động đầu vào hợp lệ khi chỉ được thêm dòng trên ô này.</t>
        </r>
      </text>
    </comment>
    <comment ref="D29" authorId="0" shapeId="0" xr:uid="{00000000-0006-0000-0100-00004F000000}">
      <text>
        <r>
          <rPr>
            <sz val="10"/>
            <rFont val="Arial"/>
            <family val="2"/>
          </rPr>
          <t>Ô chỉ tiêu có định dạng số. Đơn vị tính x 1 (hoặc %)
Dữ liệu động đầu vào hợp lệ khi chỉ được thêm dòng trên ô này.</t>
        </r>
      </text>
    </comment>
    <comment ref="E29" authorId="0" shapeId="0" xr:uid="{00000000-0006-0000-0100-000050000000}">
      <text>
        <r>
          <rPr>
            <sz val="10"/>
            <rFont val="Arial"/>
            <family val="2"/>
          </rPr>
          <t>Ô chỉ tiêu có định dạng số. Đơn vị tính x 1 (hoặc %)
Dữ liệu động đầu vào hợp lệ khi chỉ được thêm dòng trên ô này.</t>
        </r>
      </text>
    </comment>
    <comment ref="F29" authorId="0" shapeId="0" xr:uid="{00000000-0006-0000-0100-000051000000}">
      <text>
        <r>
          <rPr>
            <sz val="10"/>
            <rFont val="Arial"/>
            <family val="2"/>
          </rPr>
          <t>Ô chỉ tiêu có định dạng số. Đơn vị tính x 1 (hoặc %)
Dữ liệu động đầu vào hợp lệ khi chỉ được thêm dòng trên ô này.</t>
        </r>
      </text>
    </comment>
    <comment ref="D30" authorId="0" shapeId="0" xr:uid="{00000000-0006-0000-0100-000052000000}">
      <text>
        <r>
          <rPr>
            <sz val="10"/>
            <rFont val="Arial"/>
            <family val="2"/>
          </rPr>
          <t>Ô chỉ tiêu có định dạng số. Đơn vị tính x 1 (hoặc %)</t>
        </r>
      </text>
    </comment>
    <comment ref="E30" authorId="0" shapeId="0" xr:uid="{00000000-0006-0000-0100-000053000000}">
      <text>
        <r>
          <rPr>
            <sz val="10"/>
            <rFont val="Arial"/>
            <family val="2"/>
          </rPr>
          <t>Ô chỉ tiêu có định dạng số. Đơn vị tính x 1 (hoặc %)</t>
        </r>
      </text>
    </comment>
    <comment ref="F30" authorId="0" shapeId="0" xr:uid="{00000000-0006-0000-0100-000054000000}">
      <text>
        <r>
          <rPr>
            <sz val="10"/>
            <rFont val="Arial"/>
            <family val="2"/>
          </rPr>
          <t>Ô chỉ tiêu có định dạng số. Đơn vị tính x 1 (hoặc %)</t>
        </r>
      </text>
    </comment>
    <comment ref="D32" authorId="0" shapeId="0" xr:uid="{00000000-0006-0000-0100-000055000000}">
      <text>
        <r>
          <rPr>
            <sz val="10"/>
            <rFont val="Arial"/>
            <family val="2"/>
          </rPr>
          <t>Ô chỉ tiêu có định dạng số. Đơn vị tính x 1 (hoặc %)</t>
        </r>
      </text>
    </comment>
    <comment ref="E32" authorId="0" shapeId="0" xr:uid="{00000000-0006-0000-0100-000056000000}">
      <text>
        <r>
          <rPr>
            <sz val="10"/>
            <rFont val="Arial"/>
            <family val="2"/>
          </rPr>
          <t>Ô chỉ tiêu có định dạng số. Đơn vị tính x 1 (hoặc %)</t>
        </r>
      </text>
    </comment>
    <comment ref="F32" authorId="0" shapeId="0" xr:uid="{00000000-0006-0000-0100-000057000000}">
      <text>
        <r>
          <rPr>
            <sz val="10"/>
            <rFont val="Arial"/>
            <family val="2"/>
          </rPr>
          <t>Ô chỉ tiêu có định dạng số. Đơn vị tính x 1 (hoặc %)</t>
        </r>
      </text>
    </comment>
    <comment ref="A34" authorId="0" shapeId="0" xr:uid="{00000000-0006-0000-0100-000058000000}">
      <text>
        <r>
          <rPr>
            <sz val="10"/>
            <rFont val="Arial"/>
            <family val="2"/>
          </rPr>
          <t>Ô chỉ tiêu có định dạng ký tự
Dữ liệu động đầu vào hợp lệ khi chỉ được thêm dòng trên ô này.</t>
        </r>
      </text>
    </comment>
    <comment ref="B34" authorId="0" shapeId="0" xr:uid="{00000000-0006-0000-0100-000059000000}">
      <text>
        <r>
          <rPr>
            <sz val="10"/>
            <rFont val="Arial"/>
            <family val="2"/>
          </rPr>
          <t>Ô chỉ tiêu có định dạng ký tự
Dữ liệu động đầu vào hợp lệ khi chỉ được thêm dòng trên ô này.</t>
        </r>
      </text>
    </comment>
    <comment ref="C34" authorId="0" shapeId="0" xr:uid="{00000000-0006-0000-0100-00005A000000}">
      <text>
        <r>
          <rPr>
            <sz val="10"/>
            <rFont val="Arial"/>
            <family val="2"/>
          </rPr>
          <t>Ô chỉ tiêu có định dạng ký tự
Dữ liệu động đầu vào hợp lệ khi chỉ được thêm dòng trên ô này.</t>
        </r>
      </text>
    </comment>
    <comment ref="D34" authorId="0" shapeId="0" xr:uid="{00000000-0006-0000-0100-00005B000000}">
      <text>
        <r>
          <rPr>
            <sz val="10"/>
            <rFont val="Arial"/>
            <family val="2"/>
          </rPr>
          <t>Ô chỉ tiêu có định dạng số. Đơn vị tính x 1 (hoặc %)</t>
        </r>
      </text>
    </comment>
    <comment ref="E34" authorId="0" shapeId="0" xr:uid="{00000000-0006-0000-0100-00005C000000}">
      <text>
        <r>
          <rPr>
            <sz val="10"/>
            <rFont val="Arial"/>
            <family val="2"/>
          </rPr>
          <t>Ô chỉ tiêu có định dạng số. Đơn vị tính x 1 (hoặc %)</t>
        </r>
      </text>
    </comment>
    <comment ref="F34" authorId="0" shapeId="0" xr:uid="{00000000-0006-0000-0100-00005D000000}">
      <text>
        <r>
          <rPr>
            <sz val="10"/>
            <rFont val="Arial"/>
            <family val="2"/>
          </rPr>
          <t>Ô chỉ tiêu có định dạng số. Đơn vị tính x 1 (hoặc %)</t>
        </r>
      </text>
    </comment>
    <comment ref="A36" authorId="0" shapeId="0" xr:uid="{00000000-0006-0000-0100-00005E000000}">
      <text>
        <r>
          <rPr>
            <sz val="10"/>
            <rFont val="Arial"/>
            <family val="2"/>
          </rPr>
          <t>Ô chỉ tiêu có định dạng ký tự
Dữ liệu động đầu vào hợp lệ khi chỉ được thêm dòng trên ô này.</t>
        </r>
      </text>
    </comment>
    <comment ref="B36" authorId="0" shapeId="0" xr:uid="{00000000-0006-0000-0100-00005F000000}">
      <text>
        <r>
          <rPr>
            <sz val="10"/>
            <rFont val="Arial"/>
            <family val="2"/>
          </rPr>
          <t>Ô chỉ tiêu có định dạng ký tự
Dữ liệu động đầu vào hợp lệ khi chỉ được thêm dòng trên ô này.</t>
        </r>
      </text>
    </comment>
    <comment ref="C36" authorId="0" shapeId="0" xr:uid="{00000000-0006-0000-0100-000060000000}">
      <text>
        <r>
          <rPr>
            <sz val="10"/>
            <rFont val="Arial"/>
            <family val="2"/>
          </rPr>
          <t>Ô chỉ tiêu có định dạng ký tự
Dữ liệu động đầu vào hợp lệ khi chỉ được thêm dòng trên ô này.</t>
        </r>
      </text>
    </comment>
    <comment ref="E36" authorId="0" shapeId="0" xr:uid="{00000000-0006-0000-0100-000061000000}">
      <text>
        <r>
          <rPr>
            <sz val="10"/>
            <rFont val="Arial"/>
            <family val="2"/>
          </rPr>
          <t>Ô chỉ tiêu có định dạng số. Đơn vị tính x 1 (hoặc %)
Dữ liệu động đầu vào hợp lệ khi chỉ được thêm dòng trên ô này.</t>
        </r>
      </text>
    </comment>
    <comment ref="F36" authorId="0" shapeId="0" xr:uid="{00000000-0006-0000-0100-000062000000}">
      <text>
        <r>
          <rPr>
            <sz val="10"/>
            <rFont val="Arial"/>
            <family val="2"/>
          </rPr>
          <t>Ô chỉ tiêu có định dạng số. Đơn vị tính x 1 (hoặc %)
Dữ liệu động đầu vào hợp lệ khi chỉ được thêm dòng trên ô này.</t>
        </r>
      </text>
    </comment>
    <comment ref="A38" authorId="0" shapeId="0" xr:uid="{00000000-0006-0000-0100-000063000000}">
      <text>
        <r>
          <rPr>
            <sz val="10"/>
            <rFont val="Arial"/>
            <family val="2"/>
          </rPr>
          <t>Ô chỉ tiêu có định dạng ký tự
Dữ liệu động đầu vào hợp lệ khi chỉ được thêm dòng trên ô này.</t>
        </r>
      </text>
    </comment>
    <comment ref="B38" authorId="0" shapeId="0" xr:uid="{00000000-0006-0000-0100-000064000000}">
      <text>
        <r>
          <rPr>
            <sz val="10"/>
            <rFont val="Arial"/>
            <family val="2"/>
          </rPr>
          <t>Ô chỉ tiêu có định dạng ký tự
Dữ liệu động đầu vào hợp lệ khi chỉ được thêm dòng trên ô này.</t>
        </r>
      </text>
    </comment>
    <comment ref="C38" authorId="0" shapeId="0" xr:uid="{00000000-0006-0000-0100-000065000000}">
      <text>
        <r>
          <rPr>
            <sz val="10"/>
            <rFont val="Arial"/>
            <family val="2"/>
          </rPr>
          <t>Ô chỉ tiêu có định dạng ký tự
Dữ liệu động đầu vào hợp lệ khi chỉ được thêm dòng trên ô này.</t>
        </r>
      </text>
    </comment>
    <comment ref="D38" authorId="0" shapeId="0" xr:uid="{00000000-0006-0000-0100-000066000000}">
      <text>
        <r>
          <rPr>
            <sz val="10"/>
            <rFont val="Arial"/>
            <family val="2"/>
          </rPr>
          <t>Ô chỉ tiêu có định dạng số. Đơn vị tính x 1 (hoặc %)
Dữ liệu động đầu vào hợp lệ khi chỉ được thêm dòng trên ô này.</t>
        </r>
      </text>
    </comment>
    <comment ref="E38" authorId="0" shapeId="0" xr:uid="{00000000-0006-0000-0100-000067000000}">
      <text>
        <r>
          <rPr>
            <sz val="10"/>
            <rFont val="Arial"/>
            <family val="2"/>
          </rPr>
          <t>Ô chỉ tiêu có định dạng số. Đơn vị tính x 1 (hoặc %)
Dữ liệu động đầu vào hợp lệ khi chỉ được thêm dòng trên ô này.</t>
        </r>
      </text>
    </comment>
    <comment ref="F38" authorId="0" shapeId="0" xr:uid="{00000000-0006-0000-0100-000068000000}">
      <text>
        <r>
          <rPr>
            <sz val="10"/>
            <rFont val="Arial"/>
            <family val="2"/>
          </rPr>
          <t>Ô chỉ tiêu có định dạng số. Đơn vị tính x 1 (hoặc %)
Dữ liệu động đầu vào hợp lệ khi chỉ được thêm dòng trên ô này.</t>
        </r>
      </text>
    </comment>
    <comment ref="E39" authorId="0" shapeId="0" xr:uid="{00000000-0006-0000-0100-000069000000}">
      <text>
        <r>
          <rPr>
            <sz val="10"/>
            <rFont val="Arial"/>
            <family val="2"/>
          </rPr>
          <t>Ô chỉ tiêu có định dạng số. Đơn vị tính x 1 (hoặc %)
Dữ liệu động đầu vào hợp lệ khi chỉ được thêm dòng trên ô này.</t>
        </r>
      </text>
    </comment>
    <comment ref="F39" authorId="0" shapeId="0" xr:uid="{00000000-0006-0000-0100-00006A000000}">
      <text>
        <r>
          <rPr>
            <sz val="10"/>
            <rFont val="Arial"/>
            <family val="2"/>
          </rPr>
          <t>Ô chỉ tiêu có định dạng số. Đơn vị tính x 1 (hoặc %)</t>
        </r>
      </text>
    </comment>
    <comment ref="D40" authorId="0" shapeId="0" xr:uid="{00000000-0006-0000-0100-00006B000000}">
      <text>
        <r>
          <rPr>
            <sz val="10"/>
            <rFont val="Arial"/>
            <family val="2"/>
          </rPr>
          <t>Ô chỉ tiêu có định dạng số. Đơn vị tính x 1 (hoặc %)</t>
        </r>
      </text>
    </comment>
    <comment ref="E40" authorId="0" shapeId="0" xr:uid="{00000000-0006-0000-0100-00006C000000}">
      <text>
        <r>
          <rPr>
            <sz val="10"/>
            <rFont val="Arial"/>
            <family val="2"/>
          </rPr>
          <t>Ô chỉ tiêu có định dạng số. Đơn vị tính x 1 (hoặc %)</t>
        </r>
      </text>
    </comment>
    <comment ref="F40" authorId="0" shapeId="0" xr:uid="{00000000-0006-0000-0100-00006D000000}">
      <text>
        <r>
          <rPr>
            <sz val="10"/>
            <rFont val="Arial"/>
            <family val="2"/>
          </rPr>
          <t>Ô chỉ tiêu có định dạng số. Đơn vị tính x 1 (hoặc %)</t>
        </r>
      </text>
    </comment>
    <comment ref="D41" authorId="0" shapeId="0" xr:uid="{00000000-0006-0000-0100-00006E000000}">
      <text>
        <r>
          <rPr>
            <sz val="10"/>
            <rFont val="Arial"/>
            <family val="2"/>
          </rPr>
          <t>Ô chỉ tiêu có định dạng số. Đơn vị tính x 1 (hoặc %)</t>
        </r>
      </text>
    </comment>
    <comment ref="E41" authorId="0" shapeId="0" xr:uid="{00000000-0006-0000-0100-00006F000000}">
      <text>
        <r>
          <rPr>
            <sz val="10"/>
            <rFont val="Arial"/>
            <family val="2"/>
          </rPr>
          <t>Ô chỉ tiêu có định dạng số. Đơn vị tính x 1 (hoặc %)</t>
        </r>
      </text>
    </comment>
    <comment ref="F41" authorId="0" shapeId="0" xr:uid="{00000000-0006-0000-0100-000070000000}">
      <text>
        <r>
          <rPr>
            <sz val="10"/>
            <rFont val="Arial"/>
            <family val="2"/>
          </rPr>
          <t>Ô chỉ tiêu có định dạng số. Đơn vị tính x 1 (hoặc %)</t>
        </r>
      </text>
    </comment>
    <comment ref="D42" authorId="0" shapeId="0" xr:uid="{00000000-0006-0000-0100-000071000000}">
      <text>
        <r>
          <rPr>
            <sz val="10"/>
            <rFont val="Arial"/>
            <family val="2"/>
          </rPr>
          <t>Ô chỉ tiêu có định dạng số. Đơn vị tính x 1 (hoặc %)</t>
        </r>
      </text>
    </comment>
    <comment ref="E42" authorId="0" shapeId="0" xr:uid="{00000000-0006-0000-0100-000072000000}">
      <text>
        <r>
          <rPr>
            <sz val="10"/>
            <rFont val="Arial"/>
            <family val="2"/>
          </rPr>
          <t>Ô chỉ tiêu có định dạng số. Đơn vị tính x 1 (hoặc %)</t>
        </r>
      </text>
    </comment>
    <comment ref="F42" authorId="0" shapeId="0" xr:uid="{00000000-0006-0000-0100-000073000000}">
      <text>
        <r>
          <rPr>
            <sz val="10"/>
            <rFont val="Arial"/>
            <family val="2"/>
          </rPr>
          <t>Ô chỉ tiêu có định dạng số. Đơn vị tính x 1 (hoặc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A00-000001000000}">
      <text>
        <r>
          <rPr>
            <sz val="10"/>
            <rFont val="Arial"/>
            <family val="2"/>
          </rPr>
          <t>Ô chỉ tiêu có định dạng số. Đơn vị tính x 1 (hoặc %)</t>
        </r>
      </text>
    </comment>
    <comment ref="D3" authorId="0" shapeId="0" xr:uid="{00000000-0006-0000-0A00-000002000000}">
      <text>
        <r>
          <rPr>
            <sz val="10"/>
            <rFont val="Arial"/>
            <family val="2"/>
          </rPr>
          <t>Ô chỉ tiêu có định dạng số. Đơn vị tính x 1 (hoặc %)</t>
        </r>
      </text>
    </comment>
    <comment ref="E3" authorId="0" shapeId="0" xr:uid="{00000000-0006-0000-0A00-000003000000}">
      <text>
        <r>
          <rPr>
            <sz val="10"/>
            <rFont val="Arial"/>
            <family val="2"/>
          </rPr>
          <t>Ô chỉ tiêu có định dạng số. Đơn vị tính x 1 (hoặc %)</t>
        </r>
      </text>
    </comment>
    <comment ref="F3" authorId="0" shapeId="0" xr:uid="{00000000-0006-0000-0A00-000004000000}">
      <text>
        <r>
          <rPr>
            <sz val="10"/>
            <rFont val="Arial"/>
            <family val="2"/>
          </rPr>
          <t>Ô chỉ tiêu có định dạng số. Đơn vị tính x 1 (hoặc %)</t>
        </r>
      </text>
    </comment>
    <comment ref="G3" authorId="0" shapeId="0" xr:uid="{00000000-0006-0000-0A00-000005000000}">
      <text>
        <r>
          <rPr>
            <sz val="10"/>
            <rFont val="Arial"/>
            <family val="2"/>
          </rPr>
          <t>Ô chỉ tiêu có định dạng số. Đơn vị tính x 1 (hoặc %)</t>
        </r>
      </text>
    </comment>
    <comment ref="C4" authorId="0" shapeId="0" xr:uid="{00000000-0006-0000-0A00-000006000000}">
      <text>
        <r>
          <rPr>
            <sz val="10"/>
            <rFont val="Arial"/>
            <family val="2"/>
          </rPr>
          <t>Ô chỉ tiêu có định dạng số. Đơn vị tính x 1 (hoặc %)</t>
        </r>
      </text>
    </comment>
    <comment ref="D4" authorId="0" shapeId="0" xr:uid="{00000000-0006-0000-0A00-000007000000}">
      <text>
        <r>
          <rPr>
            <sz val="10"/>
            <rFont val="Arial"/>
            <family val="2"/>
          </rPr>
          <t>Ô chỉ tiêu có định dạng số. Đơn vị tính x 1 (hoặc %)</t>
        </r>
      </text>
    </comment>
    <comment ref="E4" authorId="0" shapeId="0" xr:uid="{00000000-0006-0000-0A00-000008000000}">
      <text>
        <r>
          <rPr>
            <sz val="10"/>
            <rFont val="Arial"/>
            <family val="2"/>
          </rPr>
          <t>Ô chỉ tiêu có định dạng số. Đơn vị tính x 1 (hoặc %)</t>
        </r>
      </text>
    </comment>
    <comment ref="F4" authorId="0" shapeId="0" xr:uid="{00000000-0006-0000-0A00-000009000000}">
      <text>
        <r>
          <rPr>
            <sz val="10"/>
            <rFont val="Arial"/>
            <family val="2"/>
          </rPr>
          <t>Ô chỉ tiêu có định dạng số. Đơn vị tính x 1 (hoặc %)</t>
        </r>
      </text>
    </comment>
    <comment ref="G4" authorId="0" shapeId="0" xr:uid="{00000000-0006-0000-0A00-00000A000000}">
      <text>
        <r>
          <rPr>
            <sz val="10"/>
            <rFont val="Arial"/>
            <family val="2"/>
          </rPr>
          <t>Ô chỉ tiêu có định dạng số. Đơn vị tính x 1 (hoặc %)</t>
        </r>
      </text>
    </comment>
    <comment ref="C5" authorId="0" shapeId="0" xr:uid="{00000000-0006-0000-0A00-00000B000000}">
      <text>
        <r>
          <rPr>
            <sz val="10"/>
            <rFont val="Arial"/>
            <family val="2"/>
          </rPr>
          <t>Ô chỉ tiêu có định dạng số. Đơn vị tính x 1 (hoặc %)</t>
        </r>
      </text>
    </comment>
    <comment ref="D5" authorId="0" shapeId="0" xr:uid="{00000000-0006-0000-0A00-00000C000000}">
      <text>
        <r>
          <rPr>
            <sz val="10"/>
            <rFont val="Arial"/>
            <family val="2"/>
          </rPr>
          <t>Ô chỉ tiêu có định dạng số. Đơn vị tính x 1 (hoặc %)</t>
        </r>
      </text>
    </comment>
    <comment ref="E5" authorId="0" shapeId="0" xr:uid="{00000000-0006-0000-0A00-00000D000000}">
      <text>
        <r>
          <rPr>
            <sz val="10"/>
            <rFont val="Arial"/>
            <family val="2"/>
          </rPr>
          <t>Ô chỉ tiêu có định dạng số. Đơn vị tính x 1 (hoặc %)</t>
        </r>
      </text>
    </comment>
    <comment ref="F5" authorId="0" shapeId="0" xr:uid="{00000000-0006-0000-0A00-00000E000000}">
      <text>
        <r>
          <rPr>
            <sz val="10"/>
            <rFont val="Arial"/>
            <family val="2"/>
          </rPr>
          <t>Ô chỉ tiêu có định dạng số. Đơn vị tính x 1 (hoặc %)</t>
        </r>
      </text>
    </comment>
    <comment ref="G5" authorId="0" shapeId="0" xr:uid="{00000000-0006-0000-0A00-00000F000000}">
      <text>
        <r>
          <rPr>
            <sz val="10"/>
            <rFont val="Arial"/>
            <family val="2"/>
          </rPr>
          <t>Ô chỉ tiêu có định dạng số. Đơn vị tính x 1 (hoặc %)</t>
        </r>
      </text>
    </comment>
    <comment ref="C6" authorId="0" shapeId="0" xr:uid="{00000000-0006-0000-0A00-000010000000}">
      <text>
        <r>
          <rPr>
            <sz val="10"/>
            <rFont val="Arial"/>
            <family val="2"/>
          </rPr>
          <t>Ô chỉ tiêu có định dạng số. Đơn vị tính x 1 (hoặc %)</t>
        </r>
      </text>
    </comment>
    <comment ref="D6" authorId="0" shapeId="0" xr:uid="{00000000-0006-0000-0A00-000011000000}">
      <text>
        <r>
          <rPr>
            <sz val="10"/>
            <rFont val="Arial"/>
            <family val="2"/>
          </rPr>
          <t>Ô chỉ tiêu có định dạng số. Đơn vị tính x 1 (hoặc %)</t>
        </r>
      </text>
    </comment>
    <comment ref="E6" authorId="0" shapeId="0" xr:uid="{00000000-0006-0000-0A00-000012000000}">
      <text>
        <r>
          <rPr>
            <sz val="10"/>
            <rFont val="Arial"/>
            <family val="2"/>
          </rPr>
          <t>Ô chỉ tiêu có định dạng số. Đơn vị tính x 1 (hoặc %)</t>
        </r>
      </text>
    </comment>
    <comment ref="F6" authorId="0" shapeId="0" xr:uid="{00000000-0006-0000-0A00-000013000000}">
      <text>
        <r>
          <rPr>
            <sz val="10"/>
            <rFont val="Arial"/>
            <family val="2"/>
          </rPr>
          <t>Ô chỉ tiêu có định dạng số. Đơn vị tính x 1 (hoặc %)</t>
        </r>
      </text>
    </comment>
    <comment ref="G6" authorId="0" shapeId="0" xr:uid="{00000000-0006-0000-0A00-000014000000}">
      <text>
        <r>
          <rPr>
            <sz val="10"/>
            <rFont val="Arial"/>
            <family val="2"/>
          </rPr>
          <t>Ô chỉ tiêu có định dạng số. Đơn vị tính x 1 (hoặc %)</t>
        </r>
      </text>
    </comment>
    <comment ref="A8" authorId="0" shapeId="0" xr:uid="{00000000-0006-0000-0A00-000015000000}">
      <text>
        <r>
          <rPr>
            <sz val="10"/>
            <rFont val="Arial"/>
            <family val="2"/>
          </rPr>
          <t>Ô chỉ tiêu có định dạng ký tự
Dữ liệu động đầu vào hợp lệ khi chỉ được thêm dòng trên ô này.</t>
        </r>
      </text>
    </comment>
    <comment ref="B8" authorId="0" shapeId="0" xr:uid="{00000000-0006-0000-0A00-000016000000}">
      <text>
        <r>
          <rPr>
            <sz val="10"/>
            <rFont val="Arial"/>
            <family val="2"/>
          </rPr>
          <t>Ô chỉ tiêu có định dạng ký tự
Dữ liệu động đầu vào hợp lệ khi chỉ được thêm dòng trên ô này.</t>
        </r>
      </text>
    </comment>
    <comment ref="C8" authorId="0" shapeId="0" xr:uid="{00000000-0006-0000-0A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A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A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A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A00-00001B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A00-00001C000000}">
      <text>
        <r>
          <rPr>
            <sz val="10"/>
            <rFont val="Arial"/>
            <family val="2"/>
          </rPr>
          <t>Ô chỉ tiêu có định dạng số. Đơn vị tính x 1 (hoặc %)</t>
        </r>
      </text>
    </comment>
    <comment ref="D9" authorId="0" shapeId="0" xr:uid="{00000000-0006-0000-0A00-00001D000000}">
      <text>
        <r>
          <rPr>
            <sz val="10"/>
            <rFont val="Arial"/>
            <family val="2"/>
          </rPr>
          <t>Ô chỉ tiêu có định dạng số. Đơn vị tính x 1 (hoặc %)</t>
        </r>
      </text>
    </comment>
    <comment ref="E9" authorId="0" shapeId="0" xr:uid="{00000000-0006-0000-0A00-00001E000000}">
      <text>
        <r>
          <rPr>
            <sz val="10"/>
            <rFont val="Arial"/>
            <family val="2"/>
          </rPr>
          <t>Ô chỉ tiêu có định dạng số. Đơn vị tính x 1 (hoặc %)</t>
        </r>
      </text>
    </comment>
    <comment ref="F9" authorId="0" shapeId="0" xr:uid="{00000000-0006-0000-0A00-00001F000000}">
      <text>
        <r>
          <rPr>
            <sz val="10"/>
            <rFont val="Arial"/>
            <family val="2"/>
          </rPr>
          <t>Ô chỉ tiêu có định dạng số. Đơn vị tính x 1 (hoặc %)</t>
        </r>
      </text>
    </comment>
    <comment ref="G9" authorId="0" shapeId="0" xr:uid="{00000000-0006-0000-0A00-000020000000}">
      <text>
        <r>
          <rPr>
            <sz val="10"/>
            <rFont val="Arial"/>
            <family val="2"/>
          </rPr>
          <t>Ô chỉ tiêu có định dạng số. Đơn vị tính x 1 (hoặc %)</t>
        </r>
      </text>
    </comment>
    <comment ref="A11" authorId="0" shapeId="0" xr:uid="{00000000-0006-0000-0A00-000021000000}">
      <text>
        <r>
          <rPr>
            <sz val="10"/>
            <rFont val="Arial"/>
            <family val="2"/>
          </rPr>
          <t>Ô chỉ tiêu có định dạng ký tự
Dữ liệu động đầu vào hợp lệ khi chỉ được thêm dòng trên ô này.</t>
        </r>
      </text>
    </comment>
    <comment ref="B11" authorId="0" shapeId="0" xr:uid="{00000000-0006-0000-0A00-000022000000}">
      <text>
        <r>
          <rPr>
            <sz val="10"/>
            <rFont val="Arial"/>
            <family val="2"/>
          </rPr>
          <t>Ô chỉ tiêu có định dạng ký tự
Dữ liệu động đầu vào hợp lệ khi chỉ được thêm dòng trên ô này.</t>
        </r>
      </text>
    </comment>
    <comment ref="C11" authorId="0" shapeId="0" xr:uid="{00000000-0006-0000-0A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A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A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A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A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A00-000028000000}">
      <text>
        <r>
          <rPr>
            <sz val="10"/>
            <rFont val="Arial"/>
            <family val="2"/>
          </rPr>
          <t>Ô chỉ tiêu có định dạng ký tự
Dữ liệu động đầu vào hợp lệ khi chỉ được thêm dòng trên ô này.</t>
        </r>
      </text>
    </comment>
    <comment ref="B13" authorId="0" shapeId="0" xr:uid="{00000000-0006-0000-0A00-000029000000}">
      <text>
        <r>
          <rPr>
            <sz val="10"/>
            <rFont val="Arial"/>
            <family val="2"/>
          </rPr>
          <t>Ô chỉ tiêu có định dạng ký tự
Dữ liệu động đầu vào hợp lệ khi chỉ được thêm dòng trên ô này.</t>
        </r>
      </text>
    </comment>
    <comment ref="C13" authorId="0" shapeId="0" xr:uid="{00000000-0006-0000-0A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A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A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A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A00-00002E000000}">
      <text>
        <r>
          <rPr>
            <sz val="10"/>
            <rFont val="Arial"/>
            <family val="2"/>
          </rPr>
          <t>Ô chỉ tiêu có định dạng số. Đơn vị tính x 1 (hoặc %)
Dữ liệu động đầu vào hợp lệ khi chỉ được thêm dòng trên ô này.</t>
        </r>
      </text>
    </comment>
    <comment ref="C14" authorId="0" shapeId="0" xr:uid="{00000000-0006-0000-0A00-00002F000000}">
      <text>
        <r>
          <rPr>
            <sz val="10"/>
            <rFont val="Arial"/>
            <family val="2"/>
          </rPr>
          <t>Ô chỉ tiêu có định dạng số. Đơn vị tính x 1 (hoặc %)</t>
        </r>
      </text>
    </comment>
    <comment ref="D14" authorId="0" shapeId="0" xr:uid="{00000000-0006-0000-0A00-000030000000}">
      <text>
        <r>
          <rPr>
            <sz val="10"/>
            <rFont val="Arial"/>
            <family val="2"/>
          </rPr>
          <t>Ô chỉ tiêu có định dạng số. Đơn vị tính x 1 (hoặc %)</t>
        </r>
      </text>
    </comment>
    <comment ref="E14" authorId="0" shapeId="0" xr:uid="{00000000-0006-0000-0A00-000031000000}">
      <text>
        <r>
          <rPr>
            <sz val="10"/>
            <rFont val="Arial"/>
            <family val="2"/>
          </rPr>
          <t>Ô chỉ tiêu có định dạng số. Đơn vị tính x 1 (hoặc %)</t>
        </r>
      </text>
    </comment>
    <comment ref="F14" authorId="0" shapeId="0" xr:uid="{00000000-0006-0000-0A00-000032000000}">
      <text>
        <r>
          <rPr>
            <sz val="10"/>
            <rFont val="Arial"/>
            <family val="2"/>
          </rPr>
          <t>Ô chỉ tiêu có định dạng số. Đơn vị tính x 1 (hoặc %)</t>
        </r>
      </text>
    </comment>
    <comment ref="G14" authorId="0" shapeId="0" xr:uid="{00000000-0006-0000-0A00-000033000000}">
      <text>
        <r>
          <rPr>
            <sz val="10"/>
            <rFont val="Arial"/>
            <family val="2"/>
          </rPr>
          <t>Ô chỉ tiêu có định dạng số. Đơn vị tính x 1 (hoặc %)</t>
        </r>
      </text>
    </comment>
    <comment ref="C15" authorId="0" shapeId="0" xr:uid="{00000000-0006-0000-0A00-000034000000}">
      <text>
        <r>
          <rPr>
            <sz val="10"/>
            <rFont val="Arial"/>
            <family val="2"/>
          </rPr>
          <t>Ô chỉ tiêu có định dạng số. Đơn vị tính x 1 (hoặc %)</t>
        </r>
      </text>
    </comment>
    <comment ref="D15" authorId="0" shapeId="0" xr:uid="{00000000-0006-0000-0A00-000035000000}">
      <text>
        <r>
          <rPr>
            <sz val="10"/>
            <rFont val="Arial"/>
            <family val="2"/>
          </rPr>
          <t>Ô chỉ tiêu có định dạng số. Đơn vị tính x 1 (hoặc %)</t>
        </r>
      </text>
    </comment>
    <comment ref="E15" authorId="0" shapeId="0" xr:uid="{00000000-0006-0000-0A00-000036000000}">
      <text>
        <r>
          <rPr>
            <sz val="10"/>
            <rFont val="Arial"/>
            <family val="2"/>
          </rPr>
          <t>Ô chỉ tiêu có định dạng số. Đơn vị tính x 1 (hoặc %)</t>
        </r>
      </text>
    </comment>
    <comment ref="F15" authorId="0" shapeId="0" xr:uid="{00000000-0006-0000-0A00-000037000000}">
      <text>
        <r>
          <rPr>
            <sz val="10"/>
            <rFont val="Arial"/>
            <family val="2"/>
          </rPr>
          <t>Ô chỉ tiêu có định dạng số. Đơn vị tính x 1 (hoặc %)</t>
        </r>
      </text>
    </comment>
    <comment ref="G15" authorId="0" shapeId="0" xr:uid="{00000000-0006-0000-0A00-000038000000}">
      <text>
        <r>
          <rPr>
            <sz val="10"/>
            <rFont val="Arial"/>
            <family val="2"/>
          </rPr>
          <t>Ô chỉ tiêu có định dạng số. Đơn vị tính x 1 (hoặc %)</t>
        </r>
      </text>
    </comment>
    <comment ref="C16" authorId="0" shapeId="0" xr:uid="{00000000-0006-0000-0A00-000039000000}">
      <text>
        <r>
          <rPr>
            <sz val="10"/>
            <rFont val="Arial"/>
            <family val="2"/>
          </rPr>
          <t>Ô chỉ tiêu có định dạng số. Đơn vị tính x 1 (hoặc %)</t>
        </r>
      </text>
    </comment>
    <comment ref="D16" authorId="0" shapeId="0" xr:uid="{00000000-0006-0000-0A00-00003A000000}">
      <text>
        <r>
          <rPr>
            <sz val="10"/>
            <rFont val="Arial"/>
            <family val="2"/>
          </rPr>
          <t>Ô chỉ tiêu có định dạng số. Đơn vị tính x 1 (hoặc %)</t>
        </r>
      </text>
    </comment>
    <comment ref="E16" authorId="0" shapeId="0" xr:uid="{00000000-0006-0000-0A00-00003B000000}">
      <text>
        <r>
          <rPr>
            <sz val="10"/>
            <rFont val="Arial"/>
            <family val="2"/>
          </rPr>
          <t>Ô chỉ tiêu có định dạng số. Đơn vị tính x 1 (hoặc %)</t>
        </r>
      </text>
    </comment>
    <comment ref="F16" authorId="0" shapeId="0" xr:uid="{00000000-0006-0000-0A00-00003C000000}">
      <text>
        <r>
          <rPr>
            <sz val="10"/>
            <rFont val="Arial"/>
            <family val="2"/>
          </rPr>
          <t>Ô chỉ tiêu có định dạng số. Đơn vị tính x 1 (hoặc %)</t>
        </r>
      </text>
    </comment>
    <comment ref="G16" authorId="0" shapeId="0" xr:uid="{00000000-0006-0000-0A00-00003D000000}">
      <text>
        <r>
          <rPr>
            <sz val="10"/>
            <rFont val="Arial"/>
            <family val="2"/>
          </rPr>
          <t>Ô chỉ tiêu có định dạng số. Đơn vị tính x 1 (hoặc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B00-000001000000}">
      <text>
        <r>
          <rPr>
            <sz val="10"/>
            <rFont val="Arial"/>
            <family val="2"/>
          </rPr>
          <t>Ô chỉ tiêu có định dạng số. Đơn vị tính x 1 (hoặc %)</t>
        </r>
      </text>
    </comment>
    <comment ref="D3" authorId="0" shapeId="0" xr:uid="{00000000-0006-0000-0B00-000002000000}">
      <text>
        <r>
          <rPr>
            <sz val="10"/>
            <rFont val="Arial"/>
            <family val="2"/>
          </rPr>
          <t>Ô chỉ tiêu có định dạng số. Đơn vị tính x 1 (hoặc %)</t>
        </r>
      </text>
    </comment>
    <comment ref="E3" authorId="0" shapeId="0" xr:uid="{00000000-0006-0000-0B00-000003000000}">
      <text>
        <r>
          <rPr>
            <sz val="10"/>
            <rFont val="Arial"/>
            <family val="2"/>
          </rPr>
          <t>Ô chỉ tiêu có định dạng số. Đơn vị tính x 1 (hoặc %)</t>
        </r>
      </text>
    </comment>
    <comment ref="F3" authorId="0" shapeId="0" xr:uid="{00000000-0006-0000-0B00-000004000000}">
      <text>
        <r>
          <rPr>
            <sz val="10"/>
            <rFont val="Arial"/>
            <family val="2"/>
          </rPr>
          <t>Ô chỉ tiêu có định dạng số. Đơn vị tính x 1 (hoặc %)</t>
        </r>
      </text>
    </comment>
    <comment ref="G3" authorId="0" shapeId="0" xr:uid="{00000000-0006-0000-0B00-000005000000}">
      <text>
        <r>
          <rPr>
            <sz val="10"/>
            <rFont val="Arial"/>
            <family val="2"/>
          </rPr>
          <t>Ô chỉ tiêu có định dạng số. Đơn vị tính x 1 (hoặc %)</t>
        </r>
      </text>
    </comment>
    <comment ref="H3" authorId="0" shapeId="0" xr:uid="{00000000-0006-0000-0B00-000006000000}">
      <text>
        <r>
          <rPr>
            <sz val="10"/>
            <rFont val="Arial"/>
            <family val="2"/>
          </rPr>
          <t>Ô chỉ tiêu có định dạng số. Đơn vị tính x 1 (hoặc %)</t>
        </r>
      </text>
    </comment>
    <comment ref="A5" authorId="0" shapeId="0" xr:uid="{00000000-0006-0000-0B00-000007000000}">
      <text>
        <r>
          <rPr>
            <sz val="10"/>
            <rFont val="Arial"/>
            <family val="2"/>
          </rPr>
          <t>Ô chỉ tiêu có định dạng ký tự
Dữ liệu động đầu vào hợp lệ khi chỉ được thêm dòng trên ô này.</t>
        </r>
      </text>
    </comment>
    <comment ref="B5" authorId="0" shapeId="0" xr:uid="{00000000-0006-0000-0B00-000008000000}">
      <text>
        <r>
          <rPr>
            <sz val="10"/>
            <rFont val="Arial"/>
            <family val="2"/>
          </rPr>
          <t>Ô chỉ tiêu có định dạng ký tự
Dữ liệu động đầu vào hợp lệ khi chỉ được thêm dòng trên ô này.</t>
        </r>
      </text>
    </comment>
    <comment ref="C5" authorId="0" shapeId="0" xr:uid="{00000000-0006-0000-0B00-000009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B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B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B00-00000C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B00-00000D000000}">
      <text>
        <r>
          <rPr>
            <sz val="10"/>
            <rFont val="Arial"/>
            <family val="2"/>
          </rPr>
          <t>Ô chỉ tiêu có định dạng số. Đơn vị tính x 1 (hoặc %)
Dữ liệu động đầu vào hợp lệ khi chỉ được thêm dòng trên ô này.</t>
        </r>
      </text>
    </comment>
    <comment ref="H5" authorId="0" shapeId="0" xr:uid="{00000000-0006-0000-0B00-00000E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B00-00000F000000}">
      <text>
        <r>
          <rPr>
            <sz val="10"/>
            <rFont val="Arial"/>
            <family val="2"/>
          </rPr>
          <t>Ô chỉ tiêu có định dạng số. Đơn vị tính x 1 (hoặc %)</t>
        </r>
      </text>
    </comment>
    <comment ref="D6" authorId="0" shapeId="0" xr:uid="{00000000-0006-0000-0B00-000010000000}">
      <text>
        <r>
          <rPr>
            <sz val="10"/>
            <rFont val="Arial"/>
            <family val="2"/>
          </rPr>
          <t>Ô chỉ tiêu có định dạng số. Đơn vị tính x 1 (hoặc %)</t>
        </r>
      </text>
    </comment>
    <comment ref="E6" authorId="0" shapeId="0" xr:uid="{00000000-0006-0000-0B00-000011000000}">
      <text>
        <r>
          <rPr>
            <sz val="10"/>
            <rFont val="Arial"/>
            <family val="2"/>
          </rPr>
          <t>Ô chỉ tiêu có định dạng số. Đơn vị tính x 1 (hoặc %)</t>
        </r>
      </text>
    </comment>
    <comment ref="F6" authorId="0" shapeId="0" xr:uid="{00000000-0006-0000-0B00-000012000000}">
      <text>
        <r>
          <rPr>
            <sz val="10"/>
            <rFont val="Arial"/>
            <family val="2"/>
          </rPr>
          <t>Ô chỉ tiêu có định dạng số. Đơn vị tính x 1 (hoặc %)</t>
        </r>
      </text>
    </comment>
    <comment ref="G6" authorId="0" shapeId="0" xr:uid="{00000000-0006-0000-0B00-000013000000}">
      <text>
        <r>
          <rPr>
            <sz val="10"/>
            <rFont val="Arial"/>
            <family val="2"/>
          </rPr>
          <t>Ô chỉ tiêu có định dạng số. Đơn vị tính x 1 (hoặc %)</t>
        </r>
      </text>
    </comment>
    <comment ref="H6" authorId="0" shapeId="0" xr:uid="{00000000-0006-0000-0B00-000014000000}">
      <text>
        <r>
          <rPr>
            <sz val="10"/>
            <rFont val="Arial"/>
            <family val="2"/>
          </rPr>
          <t>Ô chỉ tiêu có định dạng số. Đơn vị tính x 1 (hoặc %)</t>
        </r>
      </text>
    </comment>
    <comment ref="A8" authorId="0" shapeId="0" xr:uid="{00000000-0006-0000-0B00-000015000000}">
      <text>
        <r>
          <rPr>
            <sz val="10"/>
            <rFont val="Arial"/>
            <family val="2"/>
          </rPr>
          <t>Ô chỉ tiêu có định dạng ký tự
Dữ liệu động đầu vào hợp lệ khi chỉ được thêm dòng trên ô này.</t>
        </r>
      </text>
    </comment>
    <comment ref="B8" authorId="0" shapeId="0" xr:uid="{00000000-0006-0000-0B00-000016000000}">
      <text>
        <r>
          <rPr>
            <sz val="10"/>
            <rFont val="Arial"/>
            <family val="2"/>
          </rPr>
          <t>Ô chỉ tiêu có định dạng ký tự
Dữ liệu động đầu vào hợp lệ khi chỉ được thêm dòng trên ô này.</t>
        </r>
      </text>
    </comment>
    <comment ref="C8" authorId="0" shapeId="0" xr:uid="{00000000-0006-0000-0B00-000017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B00-000018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B00-000019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B00-00001A000000}">
      <text>
        <r>
          <rPr>
            <sz val="10"/>
            <rFont val="Arial"/>
            <family val="2"/>
          </rPr>
          <t>Ô chỉ tiêu có định dạng số. Đơn vị tính x 1 (hoặc %)
Dữ liệu động đầu vào hợp lệ khi chỉ được thêm dòng trên ô này.</t>
        </r>
      </text>
    </comment>
    <comment ref="G8" authorId="0" shapeId="0" xr:uid="{00000000-0006-0000-0B00-00001B000000}">
      <text>
        <r>
          <rPr>
            <sz val="10"/>
            <rFont val="Arial"/>
            <family val="2"/>
          </rPr>
          <t>Ô chỉ tiêu có định dạng số. Đơn vị tính x 1 (hoặc %)
Dữ liệu động đầu vào hợp lệ khi chỉ được thêm dòng trên ô này.</t>
        </r>
      </text>
    </comment>
    <comment ref="H8" authorId="0" shapeId="0" xr:uid="{00000000-0006-0000-0B00-00001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B00-00001D000000}">
      <text>
        <r>
          <rPr>
            <sz val="10"/>
            <rFont val="Arial"/>
            <family val="2"/>
          </rPr>
          <t>Ô chỉ tiêu có định dạng số. Đơn vị tính x 1 (hoặc %)</t>
        </r>
      </text>
    </comment>
    <comment ref="D9" authorId="0" shapeId="0" xr:uid="{00000000-0006-0000-0B00-00001E000000}">
      <text>
        <r>
          <rPr>
            <sz val="10"/>
            <rFont val="Arial"/>
            <family val="2"/>
          </rPr>
          <t>Ô chỉ tiêu có định dạng số. Đơn vị tính x 1 (hoặc %)</t>
        </r>
      </text>
    </comment>
    <comment ref="E9" authorId="0" shapeId="0" xr:uid="{00000000-0006-0000-0B00-00001F000000}">
      <text>
        <r>
          <rPr>
            <sz val="10"/>
            <rFont val="Arial"/>
            <family val="2"/>
          </rPr>
          <t>Ô chỉ tiêu có định dạng số. Đơn vị tính x 1 (hoặc %)</t>
        </r>
      </text>
    </comment>
    <comment ref="F9" authorId="0" shapeId="0" xr:uid="{00000000-0006-0000-0B00-000020000000}">
      <text>
        <r>
          <rPr>
            <sz val="10"/>
            <rFont val="Arial"/>
            <family val="2"/>
          </rPr>
          <t>Ô chỉ tiêu có định dạng số. Đơn vị tính x 1 (hoặc %)</t>
        </r>
      </text>
    </comment>
    <comment ref="G9" authorId="0" shapeId="0" xr:uid="{00000000-0006-0000-0B00-000021000000}">
      <text>
        <r>
          <rPr>
            <sz val="10"/>
            <rFont val="Arial"/>
            <family val="2"/>
          </rPr>
          <t>Ô chỉ tiêu có định dạng số. Đơn vị tính x 1 (hoặc %)</t>
        </r>
      </text>
    </comment>
    <comment ref="H9" authorId="0" shapeId="0" xr:uid="{00000000-0006-0000-0B00-000022000000}">
      <text>
        <r>
          <rPr>
            <sz val="10"/>
            <rFont val="Arial"/>
            <family val="2"/>
          </rPr>
          <t>Ô chỉ tiêu có định dạng số. Đơn vị tính x 1 (hoặc %)</t>
        </r>
      </text>
    </comment>
    <comment ref="A11" authorId="0" shapeId="0" xr:uid="{00000000-0006-0000-0B00-000023000000}">
      <text>
        <r>
          <rPr>
            <sz val="10"/>
            <rFont val="Arial"/>
            <family val="2"/>
          </rPr>
          <t>Ô chỉ tiêu có định dạng ký tự
Dữ liệu động đầu vào hợp lệ khi chỉ được thêm dòng trên ô này.</t>
        </r>
      </text>
    </comment>
    <comment ref="B11" authorId="0" shapeId="0" xr:uid="{00000000-0006-0000-0B00-000024000000}">
      <text>
        <r>
          <rPr>
            <sz val="10"/>
            <rFont val="Arial"/>
            <family val="2"/>
          </rPr>
          <t>Ô chỉ tiêu có định dạng ký tự
Dữ liệu động đầu vào hợp lệ khi chỉ được thêm dòng trên ô này.</t>
        </r>
      </text>
    </comment>
    <comment ref="C11" authorId="0" shapeId="0" xr:uid="{00000000-0006-0000-0B00-000025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B00-000026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B00-000027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B00-000028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B00-000029000000}">
      <text>
        <r>
          <rPr>
            <sz val="10"/>
            <rFont val="Arial"/>
            <family val="2"/>
          </rPr>
          <t>Ô chỉ tiêu có định dạng số. Đơn vị tính x 1 (hoặc %)
Dữ liệu động đầu vào hợp lệ khi chỉ được thêm dòng trên ô này.</t>
        </r>
      </text>
    </comment>
    <comment ref="H11" authorId="0" shapeId="0" xr:uid="{00000000-0006-0000-0B00-00002A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B00-00002B000000}">
      <text>
        <r>
          <rPr>
            <sz val="10"/>
            <rFont val="Arial"/>
            <family val="2"/>
          </rPr>
          <t>Ô chỉ tiêu có định dạng số. Đơn vị tính x 1 (hoặc %)</t>
        </r>
      </text>
    </comment>
    <comment ref="D12" authorId="0" shapeId="0" xr:uid="{00000000-0006-0000-0B00-00002C000000}">
      <text>
        <r>
          <rPr>
            <sz val="10"/>
            <rFont val="Arial"/>
            <family val="2"/>
          </rPr>
          <t>Ô chỉ tiêu có định dạng số. Đơn vị tính x 1 (hoặc %)</t>
        </r>
      </text>
    </comment>
    <comment ref="E12" authorId="0" shapeId="0" xr:uid="{00000000-0006-0000-0B00-00002D000000}">
      <text>
        <r>
          <rPr>
            <sz val="10"/>
            <rFont val="Arial"/>
            <family val="2"/>
          </rPr>
          <t>Ô chỉ tiêu có định dạng số. Đơn vị tính x 1 (hoặc %)</t>
        </r>
      </text>
    </comment>
    <comment ref="F12" authorId="0" shapeId="0" xr:uid="{00000000-0006-0000-0B00-00002E000000}">
      <text>
        <r>
          <rPr>
            <sz val="10"/>
            <rFont val="Arial"/>
            <family val="2"/>
          </rPr>
          <t>Ô chỉ tiêu có định dạng số. Đơn vị tính x 1 (hoặc %)</t>
        </r>
      </text>
    </comment>
    <comment ref="G12" authorId="0" shapeId="0" xr:uid="{00000000-0006-0000-0B00-00002F000000}">
      <text>
        <r>
          <rPr>
            <sz val="10"/>
            <rFont val="Arial"/>
            <family val="2"/>
          </rPr>
          <t>Ô chỉ tiêu có định dạng số. Đơn vị tính x 1 (hoặc %)</t>
        </r>
      </text>
    </comment>
    <comment ref="H12" authorId="0" shapeId="0" xr:uid="{00000000-0006-0000-0B00-000030000000}">
      <text>
        <r>
          <rPr>
            <sz val="10"/>
            <rFont val="Arial"/>
            <family val="2"/>
          </rPr>
          <t>Ô chỉ tiêu có định dạng số. Đơn vị tính x 1 (hoặc %)</t>
        </r>
      </text>
    </comment>
    <comment ref="A14" authorId="0" shapeId="0" xr:uid="{00000000-0006-0000-0B00-000031000000}">
      <text>
        <r>
          <rPr>
            <sz val="10"/>
            <rFont val="Arial"/>
            <family val="2"/>
          </rPr>
          <t>Ô chỉ tiêu có định dạng ký tự
Dữ liệu động đầu vào hợp lệ khi chỉ được thêm dòng trên ô này.</t>
        </r>
      </text>
    </comment>
    <comment ref="B14" authorId="0" shapeId="0" xr:uid="{00000000-0006-0000-0B00-000032000000}">
      <text>
        <r>
          <rPr>
            <sz val="10"/>
            <rFont val="Arial"/>
            <family val="2"/>
          </rPr>
          <t>Ô chỉ tiêu có định dạng ký tự
Dữ liệu động đầu vào hợp lệ khi chỉ được thêm dòng trên ô này.</t>
        </r>
      </text>
    </comment>
    <comment ref="C14" authorId="0" shapeId="0" xr:uid="{00000000-0006-0000-0B00-000033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B00-000034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B00-000035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B00-000036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B00-000037000000}">
      <text>
        <r>
          <rPr>
            <sz val="10"/>
            <rFont val="Arial"/>
            <family val="2"/>
          </rPr>
          <t>Ô chỉ tiêu có định dạng số. Đơn vị tính x 1 (hoặc %)
Dữ liệu động đầu vào hợp lệ khi chỉ được thêm dòng trên ô này.</t>
        </r>
      </text>
    </comment>
    <comment ref="H14" authorId="0" shapeId="0" xr:uid="{00000000-0006-0000-0B00-000038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B00-000039000000}">
      <text>
        <r>
          <rPr>
            <sz val="10"/>
            <rFont val="Arial"/>
            <family val="2"/>
          </rPr>
          <t>Ô chỉ tiêu có định dạng số. Đơn vị tính x 1 (hoặc %)</t>
        </r>
      </text>
    </comment>
    <comment ref="D15" authorId="0" shapeId="0" xr:uid="{00000000-0006-0000-0B00-00003A000000}">
      <text>
        <r>
          <rPr>
            <sz val="10"/>
            <rFont val="Arial"/>
            <family val="2"/>
          </rPr>
          <t>Ô chỉ tiêu có định dạng số. Đơn vị tính x 1 (hoặc %)</t>
        </r>
      </text>
    </comment>
    <comment ref="E15" authorId="0" shapeId="0" xr:uid="{00000000-0006-0000-0B00-00003B000000}">
      <text>
        <r>
          <rPr>
            <sz val="10"/>
            <rFont val="Arial"/>
            <family val="2"/>
          </rPr>
          <t>Ô chỉ tiêu có định dạng số. Đơn vị tính x 1 (hoặc %)</t>
        </r>
      </text>
    </comment>
    <comment ref="F15" authorId="0" shapeId="0" xr:uid="{00000000-0006-0000-0B00-00003C000000}">
      <text>
        <r>
          <rPr>
            <sz val="10"/>
            <rFont val="Arial"/>
            <family val="2"/>
          </rPr>
          <t>Ô chỉ tiêu có định dạng số. Đơn vị tính x 1 (hoặc %)</t>
        </r>
      </text>
    </comment>
    <comment ref="G15" authorId="0" shapeId="0" xr:uid="{00000000-0006-0000-0B00-00003D000000}">
      <text>
        <r>
          <rPr>
            <sz val="10"/>
            <rFont val="Arial"/>
            <family val="2"/>
          </rPr>
          <t>Ô chỉ tiêu có định dạng số. Đơn vị tính x 1 (hoặc %)</t>
        </r>
      </text>
    </comment>
    <comment ref="H15" authorId="0" shapeId="0" xr:uid="{00000000-0006-0000-0B00-00003E000000}">
      <text>
        <r>
          <rPr>
            <sz val="10"/>
            <rFont val="Arial"/>
            <family val="2"/>
          </rPr>
          <t>Ô chỉ tiêu có định dạng số. Đơn vị tính x 1 (hoặc %)</t>
        </r>
      </text>
    </comment>
    <comment ref="A17" authorId="0" shapeId="0" xr:uid="{00000000-0006-0000-0B00-00003F000000}">
      <text>
        <r>
          <rPr>
            <sz val="10"/>
            <rFont val="Arial"/>
            <family val="2"/>
          </rPr>
          <t>Ô chỉ tiêu có định dạng ký tự
Dữ liệu động đầu vào hợp lệ khi chỉ được thêm dòng trên ô này.</t>
        </r>
      </text>
    </comment>
    <comment ref="B17" authorId="0" shapeId="0" xr:uid="{00000000-0006-0000-0B00-000040000000}">
      <text>
        <r>
          <rPr>
            <sz val="10"/>
            <rFont val="Arial"/>
            <family val="2"/>
          </rPr>
          <t>Ô chỉ tiêu có định dạng ký tự
Dữ liệu động đầu vào hợp lệ khi chỉ được thêm dòng trên ô này.</t>
        </r>
      </text>
    </comment>
    <comment ref="C17" authorId="0" shapeId="0" xr:uid="{00000000-0006-0000-0B00-000041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B00-000042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B00-000043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B00-000044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B00-000045000000}">
      <text>
        <r>
          <rPr>
            <sz val="10"/>
            <rFont val="Arial"/>
            <family val="2"/>
          </rPr>
          <t>Ô chỉ tiêu có định dạng số. Đơn vị tính x 1 (hoặc %)
Dữ liệu động đầu vào hợp lệ khi chỉ được thêm dòng trên ô này.</t>
        </r>
      </text>
    </comment>
    <comment ref="H17" authorId="0" shapeId="0" xr:uid="{00000000-0006-0000-0B00-000046000000}">
      <text>
        <r>
          <rPr>
            <sz val="10"/>
            <rFont val="Arial"/>
            <family val="2"/>
          </rPr>
          <t>Ô chỉ tiêu có định dạng số. Đơn vị tính x 1 (hoặc %)
Dữ liệu động đầu vào hợp lệ khi chỉ được thêm dòng trên ô này.</t>
        </r>
      </text>
    </comment>
    <comment ref="C18" authorId="0" shapeId="0" xr:uid="{00000000-0006-0000-0B00-000047000000}">
      <text>
        <r>
          <rPr>
            <sz val="10"/>
            <rFont val="Arial"/>
            <family val="2"/>
          </rPr>
          <t>Ô chỉ tiêu có định dạng số. Đơn vị tính x 1 (hoặc %)</t>
        </r>
      </text>
    </comment>
    <comment ref="D18" authorId="0" shapeId="0" xr:uid="{00000000-0006-0000-0B00-000048000000}">
      <text>
        <r>
          <rPr>
            <sz val="10"/>
            <rFont val="Arial"/>
            <family val="2"/>
          </rPr>
          <t>Ô chỉ tiêu có định dạng số. Đơn vị tính x 1 (hoặc %)</t>
        </r>
      </text>
    </comment>
    <comment ref="E18" authorId="0" shapeId="0" xr:uid="{00000000-0006-0000-0B00-000049000000}">
      <text>
        <r>
          <rPr>
            <sz val="10"/>
            <rFont val="Arial"/>
            <family val="2"/>
          </rPr>
          <t>Ô chỉ tiêu có định dạng số. Đơn vị tính x 1 (hoặc %)</t>
        </r>
      </text>
    </comment>
    <comment ref="F18" authorId="0" shapeId="0" xr:uid="{00000000-0006-0000-0B00-00004A000000}">
      <text>
        <r>
          <rPr>
            <sz val="10"/>
            <rFont val="Arial"/>
            <family val="2"/>
          </rPr>
          <t>Ô chỉ tiêu có định dạng số. Đơn vị tính x 1 (hoặc %)</t>
        </r>
      </text>
    </comment>
    <comment ref="G18" authorId="0" shapeId="0" xr:uid="{00000000-0006-0000-0B00-00004B000000}">
      <text>
        <r>
          <rPr>
            <sz val="10"/>
            <rFont val="Arial"/>
            <family val="2"/>
          </rPr>
          <t>Ô chỉ tiêu có định dạng số. Đơn vị tính x 1 (hoặc %)</t>
        </r>
      </text>
    </comment>
    <comment ref="H18" authorId="0" shapeId="0" xr:uid="{00000000-0006-0000-0B00-00004C000000}">
      <text>
        <r>
          <rPr>
            <sz val="10"/>
            <rFont val="Arial"/>
            <family val="2"/>
          </rPr>
          <t>Ô chỉ tiêu có định dạng số. Đơn vị tính x 1 (hoặc %)</t>
        </r>
      </text>
    </comment>
    <comment ref="A20" authorId="0" shapeId="0" xr:uid="{00000000-0006-0000-0B00-00004D000000}">
      <text>
        <r>
          <rPr>
            <sz val="10"/>
            <rFont val="Arial"/>
            <family val="2"/>
          </rPr>
          <t>Ô chỉ tiêu có định dạng ký tự
Dữ liệu động đầu vào hợp lệ khi chỉ được thêm dòng trên ô này.</t>
        </r>
      </text>
    </comment>
    <comment ref="B20" authorId="0" shapeId="0" xr:uid="{00000000-0006-0000-0B00-00004E000000}">
      <text>
        <r>
          <rPr>
            <sz val="10"/>
            <rFont val="Arial"/>
            <family val="2"/>
          </rPr>
          <t>Ô chỉ tiêu có định dạng ký tự
Dữ liệu động đầu vào hợp lệ khi chỉ được thêm dòng trên ô này.</t>
        </r>
      </text>
    </comment>
    <comment ref="C20" authorId="0" shapeId="0" xr:uid="{00000000-0006-0000-0B00-00004F000000}">
      <text>
        <r>
          <rPr>
            <sz val="10"/>
            <rFont val="Arial"/>
            <family val="2"/>
          </rPr>
          <t>Ô chỉ tiêu có định dạng số. Đơn vị tính x 1 (hoặc %)
Dữ liệu động đầu vào hợp lệ khi chỉ được thêm dòng trên ô này.</t>
        </r>
      </text>
    </comment>
    <comment ref="D20" authorId="0" shapeId="0" xr:uid="{00000000-0006-0000-0B00-000050000000}">
      <text>
        <r>
          <rPr>
            <sz val="10"/>
            <rFont val="Arial"/>
            <family val="2"/>
          </rPr>
          <t>Ô chỉ tiêu có định dạng số. Đơn vị tính x 1 (hoặc %)
Dữ liệu động đầu vào hợp lệ khi chỉ được thêm dòng trên ô này.</t>
        </r>
      </text>
    </comment>
    <comment ref="E20" authorId="0" shapeId="0" xr:uid="{00000000-0006-0000-0B00-000051000000}">
      <text>
        <r>
          <rPr>
            <sz val="10"/>
            <rFont val="Arial"/>
            <family val="2"/>
          </rPr>
          <t>Ô chỉ tiêu có định dạng số. Đơn vị tính x 1 (hoặc %)
Dữ liệu động đầu vào hợp lệ khi chỉ được thêm dòng trên ô này.</t>
        </r>
      </text>
    </comment>
    <comment ref="F20" authorId="0" shapeId="0" xr:uid="{00000000-0006-0000-0B00-000052000000}">
      <text>
        <r>
          <rPr>
            <sz val="10"/>
            <rFont val="Arial"/>
            <family val="2"/>
          </rPr>
          <t>Ô chỉ tiêu có định dạng số. Đơn vị tính x 1 (hoặc %)
Dữ liệu động đầu vào hợp lệ khi chỉ được thêm dòng trên ô này.</t>
        </r>
      </text>
    </comment>
    <comment ref="G20" authorId="0" shapeId="0" xr:uid="{00000000-0006-0000-0B00-000053000000}">
      <text>
        <r>
          <rPr>
            <sz val="10"/>
            <rFont val="Arial"/>
            <family val="2"/>
          </rPr>
          <t>Ô chỉ tiêu có định dạng số. Đơn vị tính x 1 (hoặc %)
Dữ liệu động đầu vào hợp lệ khi chỉ được thêm dòng trên ô này.</t>
        </r>
      </text>
    </comment>
    <comment ref="H20" authorId="0" shapeId="0" xr:uid="{00000000-0006-0000-0B00-000054000000}">
      <text>
        <r>
          <rPr>
            <sz val="10"/>
            <rFont val="Arial"/>
            <family val="2"/>
          </rPr>
          <t>Ô chỉ tiêu có định dạng số. Đơn vị tính x 1 (hoặc %)
Dữ liệu động đầu vào hợp lệ khi chỉ được thêm dòng trên ô này.</t>
        </r>
      </text>
    </comment>
    <comment ref="C21" authorId="0" shapeId="0" xr:uid="{00000000-0006-0000-0B00-000055000000}">
      <text>
        <r>
          <rPr>
            <sz val="10"/>
            <rFont val="Arial"/>
            <family val="2"/>
          </rPr>
          <t>Ô chỉ tiêu có định dạng số. Đơn vị tính x 1 (hoặc %)</t>
        </r>
      </text>
    </comment>
    <comment ref="D21" authorId="0" shapeId="0" xr:uid="{00000000-0006-0000-0B00-000056000000}">
      <text>
        <r>
          <rPr>
            <sz val="10"/>
            <rFont val="Arial"/>
            <family val="2"/>
          </rPr>
          <t>Ô chỉ tiêu có định dạng số. Đơn vị tính x 1 (hoặc %)</t>
        </r>
      </text>
    </comment>
    <comment ref="E21" authorId="0" shapeId="0" xr:uid="{00000000-0006-0000-0B00-000057000000}">
      <text>
        <r>
          <rPr>
            <sz val="10"/>
            <rFont val="Arial"/>
            <family val="2"/>
          </rPr>
          <t>Ô chỉ tiêu có định dạng số. Đơn vị tính x 1 (hoặc %)</t>
        </r>
      </text>
    </comment>
    <comment ref="F21" authorId="0" shapeId="0" xr:uid="{00000000-0006-0000-0B00-000058000000}">
      <text>
        <r>
          <rPr>
            <sz val="10"/>
            <rFont val="Arial"/>
            <family val="2"/>
          </rPr>
          <t>Ô chỉ tiêu có định dạng số. Đơn vị tính x 1 (hoặc %)</t>
        </r>
      </text>
    </comment>
    <comment ref="G21" authorId="0" shapeId="0" xr:uid="{00000000-0006-0000-0B00-000059000000}">
      <text>
        <r>
          <rPr>
            <sz val="10"/>
            <rFont val="Arial"/>
            <family val="2"/>
          </rPr>
          <t>Ô chỉ tiêu có định dạng số. Đơn vị tính x 1 (hoặc %)</t>
        </r>
      </text>
    </comment>
    <comment ref="H21" authorId="0" shapeId="0" xr:uid="{00000000-0006-0000-0B00-00005A000000}">
      <text>
        <r>
          <rPr>
            <sz val="10"/>
            <rFont val="Arial"/>
            <family val="2"/>
          </rPr>
          <t>Ô chỉ tiêu có định dạng số. Đơn vị tính x 1 (hoặc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C00-000001000000}">
      <text>
        <r>
          <rPr>
            <sz val="10"/>
            <rFont val="Arial"/>
            <family val="2"/>
          </rPr>
          <t>Ô chỉ tiêu có định dạng số. Đơn vị tính x 1 (hoặc %)
Dữ liệu động đầu vào hợp lệ khi chỉ được thêm dòng trên ô này.</t>
        </r>
      </text>
    </comment>
    <comment ref="B3" authorId="0" shapeId="0" xr:uid="{00000000-0006-0000-0C00-000002000000}">
      <text>
        <r>
          <rPr>
            <sz val="10"/>
            <rFont val="Arial"/>
            <family val="2"/>
          </rPr>
          <t>Ô chỉ tiêu có định dạng ký tự
Dữ liệu động đầu vào hợp lệ khi chỉ được thêm dòng trên ô này.</t>
        </r>
      </text>
    </comment>
    <comment ref="C3" authorId="0" shapeId="0" xr:uid="{00000000-0006-0000-0C00-00000300000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200-000001000000}">
      <text>
        <r>
          <rPr>
            <sz val="10"/>
            <rFont val="Arial"/>
            <family val="2"/>
          </rPr>
          <t>Ô chỉ tiêu có định dạng số. Đơn vị tính x 1 (hoặc %)</t>
        </r>
      </text>
    </comment>
    <comment ref="E2" authorId="0" shapeId="0" xr:uid="{00000000-0006-0000-0200-000002000000}">
      <text>
        <r>
          <rPr>
            <sz val="10"/>
            <rFont val="Arial"/>
            <family val="2"/>
          </rPr>
          <t>Ô chỉ tiêu có định dạng số. Đơn vị tính x 1 (hoặc %)</t>
        </r>
      </text>
    </comment>
    <comment ref="F2" authorId="0" shapeId="0" xr:uid="{00000000-0006-0000-0200-000003000000}">
      <text>
        <r>
          <rPr>
            <sz val="10"/>
            <rFont val="Arial"/>
            <family val="2"/>
          </rPr>
          <t>Ô chỉ tiêu có định dạng số. Đơn vị tính x 1 (hoặc %)</t>
        </r>
      </text>
    </comment>
    <comment ref="D3" authorId="0" shapeId="0" xr:uid="{00000000-0006-0000-0200-000004000000}">
      <text>
        <r>
          <rPr>
            <sz val="10"/>
            <rFont val="Arial"/>
            <family val="2"/>
          </rPr>
          <t>Ô chỉ tiêu có định dạng số. Đơn vị tính x 1 (hoặc %)</t>
        </r>
      </text>
    </comment>
    <comment ref="E3" authorId="0" shapeId="0" xr:uid="{00000000-0006-0000-0200-000005000000}">
      <text>
        <r>
          <rPr>
            <sz val="10"/>
            <rFont val="Arial"/>
            <family val="2"/>
          </rPr>
          <t>Ô chỉ tiêu có định dạng số. Đơn vị tính x 1 (hoặc %)</t>
        </r>
      </text>
    </comment>
    <comment ref="F3" authorId="0" shapeId="0" xr:uid="{00000000-0006-0000-0200-000006000000}">
      <text>
        <r>
          <rPr>
            <sz val="10"/>
            <rFont val="Arial"/>
            <family val="2"/>
          </rPr>
          <t>Ô chỉ tiêu có định dạng số. Đơn vị tính x 1 (hoặc %)</t>
        </r>
      </text>
    </comment>
    <comment ref="A5" authorId="0" shapeId="0" xr:uid="{00000000-0006-0000-0200-000007000000}">
      <text>
        <r>
          <rPr>
            <sz val="10"/>
            <rFont val="Arial"/>
            <family val="2"/>
          </rPr>
          <t>Ô chỉ tiêu có định dạng ký tự
Dữ liệu động đầu vào hợp lệ khi chỉ được thêm dòng trên ô này.</t>
        </r>
      </text>
    </comment>
    <comment ref="B5" authorId="0" shapeId="0" xr:uid="{00000000-0006-0000-0200-000008000000}">
      <text>
        <r>
          <rPr>
            <sz val="10"/>
            <rFont val="Arial"/>
            <family val="2"/>
          </rPr>
          <t>Ô chỉ tiêu có định dạng ký tự
Dữ liệu động đầu vào hợp lệ khi chỉ được thêm dòng trên ô này.</t>
        </r>
      </text>
    </comment>
    <comment ref="C5" authorId="0" shapeId="0" xr:uid="{00000000-0006-0000-0200-000009000000}">
      <text>
        <r>
          <rPr>
            <sz val="10"/>
            <rFont val="Arial"/>
            <family val="2"/>
          </rPr>
          <t>Ô chỉ tiêu có định dạng ký tự
Dữ liệu động đầu vào hợp lệ khi chỉ được thêm dòng trên ô này.</t>
        </r>
      </text>
    </comment>
    <comment ref="D5" authorId="0" shapeId="0" xr:uid="{00000000-0006-0000-0200-00000A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200-00000B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200-00000C000000}">
      <text>
        <r>
          <rPr>
            <sz val="10"/>
            <rFont val="Arial"/>
            <family val="2"/>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family val="2"/>
          </rPr>
          <t>Ô chỉ tiêu có định dạng ký tự
Dữ liệu động đầu vào hợp lệ khi chỉ được thêm dòng trên ô này.</t>
        </r>
      </text>
    </comment>
    <comment ref="B7" authorId="0" shapeId="0" xr:uid="{00000000-0006-0000-0200-00000E000000}">
      <text>
        <r>
          <rPr>
            <sz val="10"/>
            <rFont val="Arial"/>
            <family val="2"/>
          </rPr>
          <t>Ô chỉ tiêu có định dạng ký tự
Dữ liệu động đầu vào hợp lệ khi chỉ được thêm dòng trên ô này.</t>
        </r>
      </text>
    </comment>
    <comment ref="C7" authorId="0" shapeId="0" xr:uid="{00000000-0006-0000-0200-00000F000000}">
      <text>
        <r>
          <rPr>
            <sz val="10"/>
            <rFont val="Arial"/>
            <family val="2"/>
          </rPr>
          <t>Ô chỉ tiêu có định dạng ký tự
Dữ liệu động đầu vào hợp lệ khi chỉ được thêm dòng trên ô này.</t>
        </r>
      </text>
    </comment>
    <comment ref="D7" authorId="0" shapeId="0" xr:uid="{00000000-0006-0000-0200-000010000000}">
      <text>
        <r>
          <rPr>
            <sz val="10"/>
            <rFont val="Arial"/>
            <family val="2"/>
          </rPr>
          <t>Ô chỉ tiêu có định dạng số. Đơn vị tính x 1 (hoặc %)
Dữ liệu động đầu vào hợp lệ khi chỉ được thêm dòng trên ô này.</t>
        </r>
      </text>
    </comment>
    <comment ref="E7" authorId="0" shapeId="0" xr:uid="{00000000-0006-0000-0200-000011000000}">
      <text>
        <r>
          <rPr>
            <sz val="10"/>
            <rFont val="Arial"/>
            <family val="2"/>
          </rPr>
          <t>Ô chỉ tiêu có định dạng số. Đơn vị tính x 1 (hoặc %)
Dữ liệu động đầu vào hợp lệ khi chỉ được thêm dòng trên ô này.</t>
        </r>
      </text>
    </comment>
    <comment ref="F7" authorId="0" shapeId="0" xr:uid="{00000000-0006-0000-0200-000012000000}">
      <text>
        <r>
          <rPr>
            <sz val="10"/>
            <rFont val="Arial"/>
            <family val="2"/>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family val="2"/>
          </rPr>
          <t>Ô chỉ tiêu có định dạng ký tự
Dữ liệu động đầu vào hợp lệ khi chỉ được thêm dòng trên ô này.</t>
        </r>
      </text>
    </comment>
    <comment ref="B9" authorId="0" shapeId="0" xr:uid="{00000000-0006-0000-0200-000014000000}">
      <text>
        <r>
          <rPr>
            <sz val="10"/>
            <rFont val="Arial"/>
            <family val="2"/>
          </rPr>
          <t>Ô chỉ tiêu có định dạng ký tự
Dữ liệu động đầu vào hợp lệ khi chỉ được thêm dòng trên ô này.</t>
        </r>
      </text>
    </comment>
    <comment ref="C9" authorId="0" shapeId="0" xr:uid="{00000000-0006-0000-0200-000015000000}">
      <text>
        <r>
          <rPr>
            <sz val="10"/>
            <rFont val="Arial"/>
            <family val="2"/>
          </rPr>
          <t>Ô chỉ tiêu có định dạng ký tự
Dữ liệu động đầu vào hợp lệ khi chỉ được thêm dòng trên ô này.</t>
        </r>
      </text>
    </comment>
    <comment ref="D9" authorId="0" shapeId="0" xr:uid="{00000000-0006-0000-0200-000016000000}">
      <text>
        <r>
          <rPr>
            <sz val="10"/>
            <rFont val="Arial"/>
            <family val="2"/>
          </rPr>
          <t>Ô chỉ tiêu có định dạng số. Đơn vị tính x 1 (hoặc %)</t>
        </r>
      </text>
    </comment>
    <comment ref="E9" authorId="0" shapeId="0" xr:uid="{00000000-0006-0000-0200-000017000000}">
      <text>
        <r>
          <rPr>
            <sz val="10"/>
            <rFont val="Arial"/>
            <family val="2"/>
          </rPr>
          <t>Ô chỉ tiêu có định dạng số. Đơn vị tính x 1 (hoặc %)</t>
        </r>
      </text>
    </comment>
    <comment ref="F9" authorId="0" shapeId="0" xr:uid="{00000000-0006-0000-0200-000018000000}">
      <text>
        <r>
          <rPr>
            <sz val="10"/>
            <rFont val="Arial"/>
            <family val="2"/>
          </rPr>
          <t>Ô chỉ tiêu có định dạng số. Đơn vị tính x 1 (hoặc %)</t>
        </r>
      </text>
    </comment>
    <comment ref="A11" authorId="0" shapeId="0" xr:uid="{00000000-0006-0000-0200-000019000000}">
      <text>
        <r>
          <rPr>
            <sz val="10"/>
            <rFont val="Arial"/>
            <family val="2"/>
          </rPr>
          <t>Ô chỉ tiêu có định dạng ký tự
Dữ liệu động đầu vào hợp lệ khi chỉ được thêm dòng trên ô này.</t>
        </r>
      </text>
    </comment>
    <comment ref="B11" authorId="0" shapeId="0" xr:uid="{00000000-0006-0000-0200-00001A000000}">
      <text>
        <r>
          <rPr>
            <sz val="10"/>
            <rFont val="Arial"/>
            <family val="2"/>
          </rPr>
          <t>Ô chỉ tiêu có định dạng ký tự
Dữ liệu động đầu vào hợp lệ khi chỉ được thêm dòng trên ô này.</t>
        </r>
      </text>
    </comment>
    <comment ref="C11" authorId="0" shapeId="0" xr:uid="{00000000-0006-0000-0200-00001B000000}">
      <text>
        <r>
          <rPr>
            <sz val="10"/>
            <rFont val="Arial"/>
            <family val="2"/>
          </rPr>
          <t>Ô chỉ tiêu có định dạng ký tự
Dữ liệu động đầu vào hợp lệ khi chỉ được thêm dòng trên ô này.</t>
        </r>
      </text>
    </comment>
    <comment ref="D11" authorId="0" shapeId="0" xr:uid="{00000000-0006-0000-0200-00001C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200-00001D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200-00001E000000}">
      <text>
        <r>
          <rPr>
            <sz val="10"/>
            <rFont val="Arial"/>
            <family val="2"/>
          </rPr>
          <t>Ô chỉ tiêu có định dạng số. Đơn vị tính x 1 (hoặc %)
Dữ liệu động đầu vào hợp lệ khi chỉ được thêm dòng trên ô này.</t>
        </r>
      </text>
    </comment>
    <comment ref="D12" authorId="0" shapeId="0" xr:uid="{00000000-0006-0000-0200-00001F000000}">
      <text>
        <r>
          <rPr>
            <sz val="10"/>
            <rFont val="Arial"/>
            <family val="2"/>
          </rPr>
          <t>Ô chỉ tiêu có định dạng số. Đơn vị tính x 1 (hoặc %)</t>
        </r>
      </text>
    </comment>
    <comment ref="E12" authorId="0" shapeId="0" xr:uid="{00000000-0006-0000-0200-000020000000}">
      <text>
        <r>
          <rPr>
            <sz val="10"/>
            <rFont val="Arial"/>
            <family val="2"/>
          </rPr>
          <t>Ô chỉ tiêu có định dạng số. Đơn vị tính x 1 (hoặc %)</t>
        </r>
      </text>
    </comment>
    <comment ref="F12" authorId="0" shapeId="0" xr:uid="{00000000-0006-0000-0200-000021000000}">
      <text>
        <r>
          <rPr>
            <sz val="10"/>
            <rFont val="Arial"/>
            <family val="2"/>
          </rPr>
          <t>Ô chỉ tiêu có định dạng số. Đơn vị tính x 1 (hoặc %)</t>
        </r>
      </text>
    </comment>
    <comment ref="A14" authorId="0" shapeId="0" xr:uid="{00000000-0006-0000-0200-000022000000}">
      <text>
        <r>
          <rPr>
            <sz val="10"/>
            <rFont val="Arial"/>
            <family val="2"/>
          </rPr>
          <t>Ô chỉ tiêu có định dạng ký tự
Dữ liệu động đầu vào hợp lệ khi chỉ được thêm dòng trên ô này.</t>
        </r>
      </text>
    </comment>
    <comment ref="B14" authorId="0" shapeId="0" xr:uid="{00000000-0006-0000-0200-000023000000}">
      <text>
        <r>
          <rPr>
            <sz val="10"/>
            <rFont val="Arial"/>
            <family val="2"/>
          </rPr>
          <t>Ô chỉ tiêu có định dạng ký tự
Dữ liệu động đầu vào hợp lệ khi chỉ được thêm dòng trên ô này.</t>
        </r>
      </text>
    </comment>
    <comment ref="C14" authorId="0" shapeId="0" xr:uid="{00000000-0006-0000-0200-000024000000}">
      <text>
        <r>
          <rPr>
            <sz val="10"/>
            <rFont val="Arial"/>
            <family val="2"/>
          </rPr>
          <t>Ô chỉ tiêu có định dạng ký tự
Dữ liệu động đầu vào hợp lệ khi chỉ được thêm dòng trên ô này.</t>
        </r>
      </text>
    </comment>
    <comment ref="D14" authorId="0" shapeId="0" xr:uid="{00000000-0006-0000-0200-000025000000}">
      <text>
        <r>
          <rPr>
            <sz val="10"/>
            <rFont val="Arial"/>
            <family val="2"/>
          </rPr>
          <t>Ô chỉ tiêu có định dạng số. Đơn vị tính x 1 (hoặc %)
Dữ liệu động đầu vào hợp lệ khi chỉ được thêm dòng trên ô này.</t>
        </r>
      </text>
    </comment>
    <comment ref="E14" authorId="0" shapeId="0" xr:uid="{00000000-0006-0000-0200-000026000000}">
      <text>
        <r>
          <rPr>
            <sz val="10"/>
            <rFont val="Arial"/>
            <family val="2"/>
          </rPr>
          <t>Ô chỉ tiêu có định dạng số. Đơn vị tính x 1 (hoặc %)
Dữ liệu động đầu vào hợp lệ khi chỉ được thêm dòng trên ô này.</t>
        </r>
      </text>
    </comment>
    <comment ref="F14" authorId="0" shapeId="0" xr:uid="{00000000-0006-0000-0200-000027000000}">
      <text>
        <r>
          <rPr>
            <sz val="10"/>
            <rFont val="Arial"/>
            <family val="2"/>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family val="2"/>
          </rPr>
          <t>Ô chỉ tiêu có định dạng ký tự
Dữ liệu động đầu vào hợp lệ khi chỉ được thêm dòng trên ô này.</t>
        </r>
      </text>
    </comment>
    <comment ref="B16" authorId="0" shapeId="0" xr:uid="{00000000-0006-0000-0200-000029000000}">
      <text>
        <r>
          <rPr>
            <sz val="10"/>
            <rFont val="Arial"/>
            <family val="2"/>
          </rPr>
          <t>Ô chỉ tiêu có định dạng ký tự
Dữ liệu động đầu vào hợp lệ khi chỉ được thêm dòng trên ô này.</t>
        </r>
      </text>
    </comment>
    <comment ref="C16" authorId="0" shapeId="0" xr:uid="{00000000-0006-0000-0200-00002A000000}">
      <text>
        <r>
          <rPr>
            <sz val="10"/>
            <rFont val="Arial"/>
            <family val="2"/>
          </rPr>
          <t>Ô chỉ tiêu có định dạng ký tự
Dữ liệu động đầu vào hợp lệ khi chỉ được thêm dòng trên ô này.</t>
        </r>
      </text>
    </comment>
    <comment ref="D16" authorId="0" shapeId="0" xr:uid="{00000000-0006-0000-0200-00002B000000}">
      <text>
        <r>
          <rPr>
            <sz val="10"/>
            <rFont val="Arial"/>
            <family val="2"/>
          </rPr>
          <t>Ô chỉ tiêu có định dạng số. Đơn vị tính x 1 (hoặc %)
Dữ liệu động đầu vào hợp lệ khi chỉ được thêm dòng trên ô này.</t>
        </r>
      </text>
    </comment>
    <comment ref="E16" authorId="0" shapeId="0" xr:uid="{00000000-0006-0000-0200-00002C000000}">
      <text>
        <r>
          <rPr>
            <sz val="10"/>
            <rFont val="Arial"/>
            <family val="2"/>
          </rPr>
          <t>Ô chỉ tiêu có định dạng số. Đơn vị tính x 1 (hoặc %)
Dữ liệu động đầu vào hợp lệ khi chỉ được thêm dòng trên ô này.</t>
        </r>
      </text>
    </comment>
    <comment ref="F16" authorId="0" shapeId="0" xr:uid="{00000000-0006-0000-0200-00002D000000}">
      <text>
        <r>
          <rPr>
            <sz val="10"/>
            <rFont val="Arial"/>
            <family val="2"/>
          </rPr>
          <t>Ô chỉ tiêu có định dạng số. Đơn vị tính x 1 (hoặc %)
Dữ liệu động đầu vào hợp lệ khi chỉ được thêm dòng trên ô này.</t>
        </r>
      </text>
    </comment>
    <comment ref="A18" authorId="0" shapeId="0" xr:uid="{00000000-0006-0000-0200-00002E000000}">
      <text>
        <r>
          <rPr>
            <sz val="10"/>
            <rFont val="Arial"/>
            <family val="2"/>
          </rPr>
          <t>Ô chỉ tiêu có định dạng ký tự
Dữ liệu động đầu vào hợp lệ khi chỉ được thêm dòng trên ô này.</t>
        </r>
      </text>
    </comment>
    <comment ref="B18" authorId="0" shapeId="0" xr:uid="{00000000-0006-0000-0200-00002F000000}">
      <text>
        <r>
          <rPr>
            <sz val="10"/>
            <rFont val="Arial"/>
            <family val="2"/>
          </rPr>
          <t>Ô chỉ tiêu có định dạng ký tự
Dữ liệu động đầu vào hợp lệ khi chỉ được thêm dòng trên ô này.</t>
        </r>
      </text>
    </comment>
    <comment ref="C18" authorId="0" shapeId="0" xr:uid="{00000000-0006-0000-0200-000030000000}">
      <text>
        <r>
          <rPr>
            <sz val="10"/>
            <rFont val="Arial"/>
            <family val="2"/>
          </rPr>
          <t>Ô chỉ tiêu có định dạng ký tự
Dữ liệu động đầu vào hợp lệ khi chỉ được thêm dòng trên ô này.</t>
        </r>
      </text>
    </comment>
    <comment ref="D18" authorId="0" shapeId="0" xr:uid="{00000000-0006-0000-0200-000031000000}">
      <text>
        <r>
          <rPr>
            <sz val="10"/>
            <rFont val="Arial"/>
            <family val="2"/>
          </rPr>
          <t>Ô chỉ tiêu có định dạng số. Đơn vị tính x 1 (hoặc %)</t>
        </r>
      </text>
    </comment>
    <comment ref="E18" authorId="0" shapeId="0" xr:uid="{00000000-0006-0000-0200-000032000000}">
      <text>
        <r>
          <rPr>
            <sz val="10"/>
            <rFont val="Arial"/>
            <family val="2"/>
          </rPr>
          <t>Ô chỉ tiêu có định dạng số. Đơn vị tính x 1 (hoặc %)</t>
        </r>
      </text>
    </comment>
    <comment ref="F18" authorId="0" shapeId="0" xr:uid="{00000000-0006-0000-0200-000033000000}">
      <text>
        <r>
          <rPr>
            <sz val="10"/>
            <rFont val="Arial"/>
            <family val="2"/>
          </rPr>
          <t>Ô chỉ tiêu có định dạng số. Đơn vị tính x 1 (hoặc %)</t>
        </r>
      </text>
    </comment>
    <comment ref="A20" authorId="0" shapeId="0" xr:uid="{00000000-0006-0000-0200-000034000000}">
      <text>
        <r>
          <rPr>
            <sz val="10"/>
            <rFont val="Arial"/>
            <family val="2"/>
          </rPr>
          <t>Ô chỉ tiêu có định dạng ký tự
Dữ liệu động đầu vào hợp lệ khi chỉ được thêm dòng trên ô này.</t>
        </r>
      </text>
    </comment>
    <comment ref="B20" authorId="0" shapeId="0" xr:uid="{00000000-0006-0000-0200-000035000000}">
      <text>
        <r>
          <rPr>
            <sz val="10"/>
            <rFont val="Arial"/>
            <family val="2"/>
          </rPr>
          <t>Ô chỉ tiêu có định dạng ký tự
Dữ liệu động đầu vào hợp lệ khi chỉ được thêm dòng trên ô này.</t>
        </r>
      </text>
    </comment>
    <comment ref="C20" authorId="0" shapeId="0" xr:uid="{00000000-0006-0000-0200-000036000000}">
      <text>
        <r>
          <rPr>
            <sz val="10"/>
            <rFont val="Arial"/>
            <family val="2"/>
          </rPr>
          <t>Ô chỉ tiêu có định dạng ký tự
Dữ liệu động đầu vào hợp lệ khi chỉ được thêm dòng trên ô này.</t>
        </r>
      </text>
    </comment>
    <comment ref="D20" authorId="0" shapeId="0" xr:uid="{00000000-0006-0000-0200-000037000000}">
      <text>
        <r>
          <rPr>
            <sz val="10"/>
            <rFont val="Arial"/>
            <family val="2"/>
          </rPr>
          <t>Ô chỉ tiêu có định dạng số. Đơn vị tính x 1 (hoặc %)</t>
        </r>
      </text>
    </comment>
    <comment ref="E20" authorId="0" shapeId="0" xr:uid="{00000000-0006-0000-0200-000038000000}">
      <text>
        <r>
          <rPr>
            <sz val="10"/>
            <rFont val="Arial"/>
            <family val="2"/>
          </rPr>
          <t>Ô chỉ tiêu có định dạng số. Đơn vị tính x 1 (hoặc %)</t>
        </r>
      </text>
    </comment>
    <comment ref="F20" authorId="0" shapeId="0" xr:uid="{00000000-0006-0000-0200-000039000000}">
      <text>
        <r>
          <rPr>
            <sz val="10"/>
            <rFont val="Arial"/>
            <family val="2"/>
          </rPr>
          <t>Ô chỉ tiêu có định dạng số. Đơn vị tính x 1 (hoặc %)</t>
        </r>
      </text>
    </comment>
    <comment ref="A22" authorId="0" shapeId="0" xr:uid="{00000000-0006-0000-0200-00003A000000}">
      <text>
        <r>
          <rPr>
            <sz val="10"/>
            <rFont val="Arial"/>
            <family val="2"/>
          </rPr>
          <t>Ô chỉ tiêu có định dạng ký tự
Dữ liệu động đầu vào hợp lệ khi chỉ được thêm dòng trên ô này.</t>
        </r>
      </text>
    </comment>
    <comment ref="B22" authorId="0" shapeId="0" xr:uid="{00000000-0006-0000-0200-00003B000000}">
      <text>
        <r>
          <rPr>
            <sz val="10"/>
            <rFont val="Arial"/>
            <family val="2"/>
          </rPr>
          <t>Ô chỉ tiêu có định dạng ký tự
Dữ liệu động đầu vào hợp lệ khi chỉ được thêm dòng trên ô này.</t>
        </r>
      </text>
    </comment>
    <comment ref="C22" authorId="0" shapeId="0" xr:uid="{00000000-0006-0000-0200-00003C000000}">
      <text>
        <r>
          <rPr>
            <sz val="10"/>
            <rFont val="Arial"/>
            <family val="2"/>
          </rPr>
          <t>Ô chỉ tiêu có định dạng ký tự
Dữ liệu động đầu vào hợp lệ khi chỉ được thêm dòng trên ô này.</t>
        </r>
      </text>
    </comment>
    <comment ref="D22" authorId="0" shapeId="0" xr:uid="{00000000-0006-0000-0200-00003D000000}">
      <text>
        <r>
          <rPr>
            <sz val="10"/>
            <rFont val="Arial"/>
            <family val="2"/>
          </rPr>
          <t>Ô chỉ tiêu có định dạng số. Đơn vị tính x 1 (hoặc %)
Dữ liệu động đầu vào hợp lệ khi chỉ được thêm dòng trên ô này.</t>
        </r>
      </text>
    </comment>
    <comment ref="E22" authorId="0" shapeId="0" xr:uid="{00000000-0006-0000-0200-00003E000000}">
      <text>
        <r>
          <rPr>
            <sz val="10"/>
            <rFont val="Arial"/>
            <family val="2"/>
          </rPr>
          <t>Ô chỉ tiêu có định dạng số. Đơn vị tính x 1 (hoặc %)
Dữ liệu động đầu vào hợp lệ khi chỉ được thêm dòng trên ô này.</t>
        </r>
      </text>
    </comment>
    <comment ref="F22" authorId="0" shapeId="0" xr:uid="{00000000-0006-0000-0200-00003F000000}">
      <text>
        <r>
          <rPr>
            <sz val="10"/>
            <rFont val="Arial"/>
            <family val="2"/>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family val="2"/>
          </rPr>
          <t>Ô chỉ tiêu có định dạng ký tự
Dữ liệu động đầu vào hợp lệ khi chỉ được thêm dòng trên ô này.</t>
        </r>
      </text>
    </comment>
    <comment ref="B24" authorId="0" shapeId="0" xr:uid="{00000000-0006-0000-0200-000041000000}">
      <text>
        <r>
          <rPr>
            <sz val="10"/>
            <rFont val="Arial"/>
            <family val="2"/>
          </rPr>
          <t>Ô chỉ tiêu có định dạng ký tự
Dữ liệu động đầu vào hợp lệ khi chỉ được thêm dòng trên ô này.</t>
        </r>
      </text>
    </comment>
    <comment ref="C24" authorId="0" shapeId="0" xr:uid="{00000000-0006-0000-0200-000042000000}">
      <text>
        <r>
          <rPr>
            <sz val="10"/>
            <rFont val="Arial"/>
            <family val="2"/>
          </rPr>
          <t>Ô chỉ tiêu có định dạng ký tự
Dữ liệu động đầu vào hợp lệ khi chỉ được thêm dòng trên ô này.</t>
        </r>
      </text>
    </comment>
    <comment ref="A26" authorId="0" shapeId="0" xr:uid="{00000000-0006-0000-0200-000043000000}">
      <text>
        <r>
          <rPr>
            <sz val="10"/>
            <rFont val="Arial"/>
            <family val="2"/>
          </rPr>
          <t>Ô chỉ tiêu có định dạng ký tự
Dữ liệu động đầu vào hợp lệ khi chỉ được thêm dòng trên ô này.</t>
        </r>
      </text>
    </comment>
    <comment ref="B26" authorId="0" shapeId="0" xr:uid="{00000000-0006-0000-0200-000044000000}">
      <text>
        <r>
          <rPr>
            <sz val="10"/>
            <rFont val="Arial"/>
            <family val="2"/>
          </rPr>
          <t>Ô chỉ tiêu có định dạng ký tự
Dữ liệu động đầu vào hợp lệ khi chỉ được thêm dòng trên ô này.</t>
        </r>
      </text>
    </comment>
    <comment ref="C26" authorId="0" shapeId="0" xr:uid="{00000000-0006-0000-0200-000045000000}">
      <text>
        <r>
          <rPr>
            <sz val="10"/>
            <rFont val="Arial"/>
            <family val="2"/>
          </rPr>
          <t>Ô chỉ tiêu có định dạng ký tự
Dữ liệu động đầu vào hợp lệ khi chỉ được thêm dòng trên ô này.</t>
        </r>
      </text>
    </comment>
    <comment ref="D26" authorId="0" shapeId="0" xr:uid="{00000000-0006-0000-0200-000046000000}">
      <text>
        <r>
          <rPr>
            <sz val="10"/>
            <rFont val="Arial"/>
            <family val="2"/>
          </rPr>
          <t>Ô chỉ tiêu có định dạng số. Đơn vị tính x 1 (hoặc %)
Dữ liệu động đầu vào hợp lệ khi chỉ được thêm dòng trên ô này.</t>
        </r>
      </text>
    </comment>
    <comment ref="E26" authorId="0" shapeId="0" xr:uid="{00000000-0006-0000-0200-000047000000}">
      <text>
        <r>
          <rPr>
            <sz val="10"/>
            <rFont val="Arial"/>
            <family val="2"/>
          </rPr>
          <t>Ô chỉ tiêu có định dạng số. Đơn vị tính x 1 (hoặc %)
Dữ liệu động đầu vào hợp lệ khi chỉ được thêm dòng trên ô này.</t>
        </r>
      </text>
    </comment>
    <comment ref="F26" authorId="0" shapeId="0" xr:uid="{00000000-0006-0000-0200-000048000000}">
      <text>
        <r>
          <rPr>
            <sz val="10"/>
            <rFont val="Arial"/>
            <family val="2"/>
          </rPr>
          <t>Ô chỉ tiêu có định dạng số. Đơn vị tính x 1 (hoặc %)
Dữ liệu động đầu vào hợp lệ khi chỉ được thêm dòng trên ô này.</t>
        </r>
      </text>
    </comment>
    <comment ref="A28" authorId="0" shapeId="0" xr:uid="{00000000-0006-0000-0200-000049000000}">
      <text>
        <r>
          <rPr>
            <sz val="10"/>
            <rFont val="Arial"/>
            <family val="2"/>
          </rPr>
          <t>Ô chỉ tiêu có định dạng ký tự
Dữ liệu động đầu vào hợp lệ khi chỉ được thêm dòng trên ô này.</t>
        </r>
      </text>
    </comment>
    <comment ref="B28" authorId="0" shapeId="0" xr:uid="{00000000-0006-0000-0200-00004A000000}">
      <text>
        <r>
          <rPr>
            <sz val="10"/>
            <rFont val="Arial"/>
            <family val="2"/>
          </rPr>
          <t>Ô chỉ tiêu có định dạng ký tự
Dữ liệu động đầu vào hợp lệ khi chỉ được thêm dòng trên ô này.</t>
        </r>
      </text>
    </comment>
    <comment ref="C28" authorId="0" shapeId="0" xr:uid="{00000000-0006-0000-0200-00004B000000}">
      <text>
        <r>
          <rPr>
            <sz val="10"/>
            <rFont val="Arial"/>
            <family val="2"/>
          </rPr>
          <t>Ô chỉ tiêu có định dạng ký tự
Dữ liệu động đầu vào hợp lệ khi chỉ được thêm dòng trên ô này.</t>
        </r>
      </text>
    </comment>
    <comment ref="D28" authorId="0" shapeId="0" xr:uid="{00000000-0006-0000-0200-00004C000000}">
      <text>
        <r>
          <rPr>
            <sz val="10"/>
            <rFont val="Arial"/>
            <family val="2"/>
          </rPr>
          <t>Ô chỉ tiêu có định dạng số. Đơn vị tính x 1 (hoặc %)
Dữ liệu động đầu vào hợp lệ khi chỉ được thêm dòng trên ô này.</t>
        </r>
      </text>
    </comment>
    <comment ref="E28" authorId="0" shapeId="0" xr:uid="{00000000-0006-0000-0200-00004D000000}">
      <text>
        <r>
          <rPr>
            <sz val="10"/>
            <rFont val="Arial"/>
            <family val="2"/>
          </rPr>
          <t>Ô chỉ tiêu có định dạng số. Đơn vị tính x 1 (hoặc %)
Dữ liệu động đầu vào hợp lệ khi chỉ được thêm dòng trên ô này.</t>
        </r>
      </text>
    </comment>
    <comment ref="F28" authorId="0" shapeId="0" xr:uid="{00000000-0006-0000-0200-00004E000000}">
      <text>
        <r>
          <rPr>
            <sz val="10"/>
            <rFont val="Arial"/>
            <family val="2"/>
          </rPr>
          <t>Ô chỉ tiêu có định dạng số. Đơn vị tính x 1 (hoặc %)
Dữ liệu động đầu vào hợp lệ khi chỉ được thêm dòng trên ô này.</t>
        </r>
      </text>
    </comment>
    <comment ref="A30" authorId="0" shapeId="0" xr:uid="{00000000-0006-0000-0200-00004F000000}">
      <text>
        <r>
          <rPr>
            <sz val="10"/>
            <rFont val="Arial"/>
            <family val="2"/>
          </rPr>
          <t>Ô chỉ tiêu có định dạng ký tự
Dữ liệu động đầu vào hợp lệ khi chỉ được thêm dòng trên ô này.</t>
        </r>
      </text>
    </comment>
    <comment ref="B30" authorId="0" shapeId="0" xr:uid="{00000000-0006-0000-0200-000050000000}">
      <text>
        <r>
          <rPr>
            <sz val="10"/>
            <rFont val="Arial"/>
            <family val="2"/>
          </rPr>
          <t>Ô chỉ tiêu có định dạng ký tự
Dữ liệu động đầu vào hợp lệ khi chỉ được thêm dòng trên ô này.</t>
        </r>
      </text>
    </comment>
    <comment ref="C30" authorId="0" shapeId="0" xr:uid="{00000000-0006-0000-0200-000051000000}">
      <text>
        <r>
          <rPr>
            <sz val="10"/>
            <rFont val="Arial"/>
            <family val="2"/>
          </rPr>
          <t>Ô chỉ tiêu có định dạng ký tự
Dữ liệu động đầu vào hợp lệ khi chỉ được thêm dòng trên ô này.</t>
        </r>
      </text>
    </comment>
    <comment ref="D30" authorId="0" shapeId="0" xr:uid="{00000000-0006-0000-0200-000052000000}">
      <text>
        <r>
          <rPr>
            <sz val="10"/>
            <rFont val="Arial"/>
            <family val="2"/>
          </rPr>
          <t>Ô chỉ tiêu có định dạng số. Đơn vị tính x 1 (hoặc %)
Dữ liệu động đầu vào hợp lệ khi chỉ được thêm dòng trên ô này.</t>
        </r>
      </text>
    </comment>
    <comment ref="E30" authorId="0" shapeId="0" xr:uid="{00000000-0006-0000-0200-000053000000}">
      <text>
        <r>
          <rPr>
            <sz val="10"/>
            <rFont val="Arial"/>
            <family val="2"/>
          </rPr>
          <t>Ô chỉ tiêu có định dạng số. Đơn vị tính x 1 (hoặc %)
Dữ liệu động đầu vào hợp lệ khi chỉ được thêm dòng trên ô này.</t>
        </r>
      </text>
    </comment>
    <comment ref="F30" authorId="0" shapeId="0" xr:uid="{00000000-0006-0000-0200-000054000000}">
      <text>
        <r>
          <rPr>
            <sz val="10"/>
            <rFont val="Arial"/>
            <family val="2"/>
          </rPr>
          <t>Ô chỉ tiêu có định dạng số. Đơn vị tính x 1 (hoặc %)
Dữ liệu động đầu vào hợp lệ khi chỉ được thêm dòng trên ô này.</t>
        </r>
      </text>
    </comment>
    <comment ref="A32" authorId="0" shapeId="0" xr:uid="{00000000-0006-0000-0200-000055000000}">
      <text>
        <r>
          <rPr>
            <sz val="10"/>
            <rFont val="Arial"/>
            <family val="2"/>
          </rPr>
          <t>Ô chỉ tiêu có định dạng số. Đơn vị tính x 1 (hoặc %)
Dữ liệu động đầu vào hợp lệ khi chỉ được thêm dòng trên ô này.</t>
        </r>
      </text>
    </comment>
    <comment ref="B32" authorId="0" shapeId="0" xr:uid="{00000000-0006-0000-0200-000056000000}">
      <text>
        <r>
          <rPr>
            <sz val="10"/>
            <rFont val="Arial"/>
            <family val="2"/>
          </rPr>
          <t>Ô chỉ tiêu có định dạng ký tự
Dữ liệu động đầu vào hợp lệ khi chỉ được thêm dòng trên ô này.</t>
        </r>
      </text>
    </comment>
    <comment ref="C32" authorId="0" shapeId="0" xr:uid="{00000000-0006-0000-0200-000057000000}">
      <text>
        <r>
          <rPr>
            <sz val="10"/>
            <rFont val="Arial"/>
            <family val="2"/>
          </rPr>
          <t>Ô chỉ tiêu có định dạng số. Đơn vị tính x 1 (hoặc %)
Dữ liệu động đầu vào hợp lệ khi chỉ được thêm dòng trên ô này.</t>
        </r>
      </text>
    </comment>
    <comment ref="D32" authorId="0" shapeId="0" xr:uid="{00000000-0006-0000-0200-000058000000}">
      <text>
        <r>
          <rPr>
            <sz val="10"/>
            <rFont val="Arial"/>
            <family val="2"/>
          </rPr>
          <t>Ô chỉ tiêu có định dạng số. Đơn vị tính x 1 (hoặc %)
Dữ liệu động đầu vào hợp lệ khi chỉ được thêm dòng trên ô này.</t>
        </r>
      </text>
    </comment>
    <comment ref="E32" authorId="0" shapeId="0" xr:uid="{00000000-0006-0000-0200-000059000000}">
      <text>
        <r>
          <rPr>
            <sz val="10"/>
            <rFont val="Arial"/>
            <family val="2"/>
          </rPr>
          <t>Ô chỉ tiêu có định dạng số. Đơn vị tính x 1 (hoặc %)
Dữ liệu động đầu vào hợp lệ khi chỉ được thêm dòng trên ô này.</t>
        </r>
      </text>
    </comment>
    <comment ref="F32" authorId="0" shapeId="0" xr:uid="{00000000-0006-0000-0200-00005A000000}">
      <text>
        <r>
          <rPr>
            <sz val="10"/>
            <rFont val="Arial"/>
            <family val="2"/>
          </rPr>
          <t>Ô chỉ tiêu có định dạng số. Đơn vị tính x 1 (hoặc %)
Dữ liệu động đầu vào hợp lệ khi chỉ được thêm dòng trên ô này.</t>
        </r>
      </text>
    </comment>
    <comment ref="D33" authorId="0" shapeId="0" xr:uid="{00000000-0006-0000-0200-00005B000000}">
      <text>
        <r>
          <rPr>
            <sz val="10"/>
            <rFont val="Arial"/>
            <family val="2"/>
          </rPr>
          <t>Ô chỉ tiêu có định dạng số. Đơn vị tính x 1 (hoặc %)</t>
        </r>
      </text>
    </comment>
    <comment ref="E33" authorId="0" shapeId="0" xr:uid="{00000000-0006-0000-0200-00005C000000}">
      <text>
        <r>
          <rPr>
            <sz val="10"/>
            <rFont val="Arial"/>
            <family val="2"/>
          </rPr>
          <t>Ô chỉ tiêu có định dạng số. Đơn vị tính x 1 (hoặc %)</t>
        </r>
      </text>
    </comment>
    <comment ref="F33" authorId="0" shapeId="0" xr:uid="{00000000-0006-0000-0200-00005D000000}">
      <text>
        <r>
          <rPr>
            <sz val="10"/>
            <rFont val="Arial"/>
            <family val="2"/>
          </rPr>
          <t>Ô chỉ tiêu có định dạng số. Đơn vị tính x 1 (hoặc %)</t>
        </r>
      </text>
    </comment>
    <comment ref="D34" authorId="0" shapeId="0" xr:uid="{00000000-0006-0000-0200-00005E000000}">
      <text>
        <r>
          <rPr>
            <sz val="10"/>
            <rFont val="Arial"/>
            <family val="2"/>
          </rPr>
          <t>Ô chỉ tiêu có định dạng số. Đơn vị tính x 1 (hoặc %)</t>
        </r>
      </text>
    </comment>
    <comment ref="E34" authorId="0" shapeId="0" xr:uid="{00000000-0006-0000-0200-00005F000000}">
      <text>
        <r>
          <rPr>
            <sz val="10"/>
            <rFont val="Arial"/>
            <family val="2"/>
          </rPr>
          <t>Ô chỉ tiêu có định dạng số. Đơn vị tính x 1 (hoặc %)</t>
        </r>
      </text>
    </comment>
    <comment ref="F34" authorId="0" shapeId="0" xr:uid="{00000000-0006-0000-0200-000060000000}">
      <text>
        <r>
          <rPr>
            <sz val="10"/>
            <rFont val="Arial"/>
            <family val="2"/>
          </rPr>
          <t>Ô chỉ tiêu có định dạng số. Đơn vị tính x 1 (hoặc %)</t>
        </r>
      </text>
    </comment>
    <comment ref="D35" authorId="0" shapeId="0" xr:uid="{00000000-0006-0000-0200-000061000000}">
      <text>
        <r>
          <rPr>
            <sz val="10"/>
            <rFont val="Arial"/>
            <family val="2"/>
          </rPr>
          <t>Ô chỉ tiêu có định dạng số. Đơn vị tính x 1 (hoặc %)</t>
        </r>
      </text>
    </comment>
    <comment ref="E35" authorId="0" shapeId="0" xr:uid="{00000000-0006-0000-0200-000062000000}">
      <text>
        <r>
          <rPr>
            <sz val="10"/>
            <rFont val="Arial"/>
            <family val="2"/>
          </rPr>
          <t>Ô chỉ tiêu có định dạng số. Đơn vị tính x 1 (hoặc %)</t>
        </r>
      </text>
    </comment>
    <comment ref="F35" authorId="0" shapeId="0" xr:uid="{00000000-0006-0000-0200-000063000000}">
      <text>
        <r>
          <rPr>
            <sz val="10"/>
            <rFont val="Arial"/>
            <family val="2"/>
          </rPr>
          <t>Ô chỉ tiêu có định dạng số. Đơn vị tính x 1 (hoặc %)</t>
        </r>
      </text>
    </comment>
    <comment ref="D36" authorId="0" shapeId="0" xr:uid="{00000000-0006-0000-0200-000064000000}">
      <text>
        <r>
          <rPr>
            <sz val="10"/>
            <rFont val="Arial"/>
            <family val="2"/>
          </rPr>
          <t>Ô chỉ tiêu có định dạng số. Đơn vị tính x 1 (hoặc %)</t>
        </r>
      </text>
    </comment>
    <comment ref="E36" authorId="0" shapeId="0" xr:uid="{00000000-0006-0000-0200-000065000000}">
      <text>
        <r>
          <rPr>
            <sz val="10"/>
            <rFont val="Arial"/>
            <family val="2"/>
          </rPr>
          <t>Ô chỉ tiêu có định dạng số. Đơn vị tính x 1 (hoặc %)</t>
        </r>
      </text>
    </comment>
    <comment ref="F36" authorId="0" shapeId="0" xr:uid="{00000000-0006-0000-0200-000066000000}">
      <text>
        <r>
          <rPr>
            <sz val="10"/>
            <rFont val="Arial"/>
            <family val="2"/>
          </rPr>
          <t>Ô chỉ tiêu có định dạng số. Đơn vị tính x 1 (hoặc %)</t>
        </r>
      </text>
    </comment>
    <comment ref="D37" authorId="0" shapeId="0" xr:uid="{00000000-0006-0000-0200-000067000000}">
      <text>
        <r>
          <rPr>
            <sz val="10"/>
            <rFont val="Arial"/>
            <family val="2"/>
          </rPr>
          <t>Ô chỉ tiêu có định dạng số. Đơn vị tính x 1 (hoặc %)</t>
        </r>
      </text>
    </comment>
    <comment ref="E37" authorId="0" shapeId="0" xr:uid="{00000000-0006-0000-0200-000068000000}">
      <text>
        <r>
          <rPr>
            <sz val="10"/>
            <rFont val="Arial"/>
            <family val="2"/>
          </rPr>
          <t>Ô chỉ tiêu có định dạng số. Đơn vị tính x 1 (hoặc %)</t>
        </r>
      </text>
    </comment>
    <comment ref="F37" authorId="0" shapeId="0" xr:uid="{00000000-0006-0000-0200-000069000000}">
      <text>
        <r>
          <rPr>
            <sz val="10"/>
            <rFont val="Arial"/>
            <family val="2"/>
          </rPr>
          <t>Ô chỉ tiêu có định dạng số. Đơn vị tính x 1 (hoặc %)</t>
        </r>
      </text>
    </comment>
    <comment ref="D38" authorId="0" shapeId="0" xr:uid="{00000000-0006-0000-0200-00006A000000}">
      <text>
        <r>
          <rPr>
            <sz val="10"/>
            <rFont val="Arial"/>
            <family val="2"/>
          </rPr>
          <t>Ô chỉ tiêu có định dạng số. Đơn vị tính x 1 (hoặc %)</t>
        </r>
      </text>
    </comment>
    <comment ref="E38" authorId="0" shapeId="0" xr:uid="{00000000-0006-0000-0200-00006B000000}">
      <text>
        <r>
          <rPr>
            <sz val="10"/>
            <rFont val="Arial"/>
            <family val="2"/>
          </rPr>
          <t>Ô chỉ tiêu có định dạng số. Đơn vị tính x 1 (hoặc %)</t>
        </r>
      </text>
    </comment>
    <comment ref="F38" authorId="0" shapeId="0" xr:uid="{00000000-0006-0000-0200-00006C000000}">
      <text>
        <r>
          <rPr>
            <sz val="10"/>
            <rFont val="Arial"/>
            <family val="2"/>
          </rPr>
          <t>Ô chỉ tiêu có định dạng số. Đơn vị tính x 1 (hoặc %)</t>
        </r>
      </text>
    </comment>
    <comment ref="D39" authorId="0" shapeId="0" xr:uid="{00000000-0006-0000-0200-00006D000000}">
      <text>
        <r>
          <rPr>
            <sz val="10"/>
            <rFont val="Arial"/>
            <family val="2"/>
          </rPr>
          <t>Ô chỉ tiêu có định dạng số. Đơn vị tính x 1 (hoặc %)</t>
        </r>
      </text>
    </comment>
    <comment ref="E39" authorId="0" shapeId="0" xr:uid="{00000000-0006-0000-0200-00006E000000}">
      <text>
        <r>
          <rPr>
            <sz val="10"/>
            <rFont val="Arial"/>
            <family val="2"/>
          </rPr>
          <t>Ô chỉ tiêu có định dạng số. Đơn vị tính x 1 (hoặc %)</t>
        </r>
      </text>
    </comment>
    <comment ref="F39" authorId="0" shapeId="0" xr:uid="{00000000-0006-0000-0200-00006F000000}">
      <text>
        <r>
          <rPr>
            <sz val="10"/>
            <rFont val="Arial"/>
            <family val="2"/>
          </rPr>
          <t>Ô chỉ tiêu có định dạng số. Đơn vị tính x 1 (hoặc %)</t>
        </r>
      </text>
    </comment>
    <comment ref="D40" authorId="0" shapeId="0" xr:uid="{00000000-0006-0000-0200-000070000000}">
      <text>
        <r>
          <rPr>
            <sz val="10"/>
            <rFont val="Arial"/>
            <family val="2"/>
          </rPr>
          <t>Ô chỉ tiêu có định dạng số. Đơn vị tính x 1 (hoặc %)</t>
        </r>
      </text>
    </comment>
    <comment ref="E40" authorId="0" shapeId="0" xr:uid="{00000000-0006-0000-0200-000071000000}">
      <text>
        <r>
          <rPr>
            <sz val="10"/>
            <rFont val="Arial"/>
            <family val="2"/>
          </rPr>
          <t>Ô chỉ tiêu có định dạng số. Đơn vị tính x 1 (hoặc %)</t>
        </r>
      </text>
    </comment>
    <comment ref="F40" authorId="0" shapeId="0" xr:uid="{00000000-0006-0000-0200-000072000000}">
      <text>
        <r>
          <rPr>
            <sz val="10"/>
            <rFont val="Arial"/>
            <family val="2"/>
          </rPr>
          <t>Ô chỉ tiêu có định dạng số. Đơn vị tính x 1 (hoặc %)</t>
        </r>
      </text>
    </comment>
    <comment ref="D41" authorId="0" shapeId="0" xr:uid="{00000000-0006-0000-0200-000073000000}">
      <text>
        <r>
          <rPr>
            <sz val="10"/>
            <rFont val="Arial"/>
            <family val="2"/>
          </rPr>
          <t>Ô chỉ tiêu có định dạng số. Đơn vị tính x 1 (hoặc %)</t>
        </r>
      </text>
    </comment>
    <comment ref="E41" authorId="0" shapeId="0" xr:uid="{00000000-0006-0000-0200-000074000000}">
      <text>
        <r>
          <rPr>
            <sz val="10"/>
            <rFont val="Arial"/>
            <family val="2"/>
          </rPr>
          <t>Ô chỉ tiêu có định dạng số. Đơn vị tính x 1 (hoặc %)</t>
        </r>
      </text>
    </comment>
    <comment ref="F41" authorId="0" shapeId="0" xr:uid="{00000000-0006-0000-0200-000075000000}">
      <text>
        <r>
          <rPr>
            <sz val="10"/>
            <rFont val="Arial"/>
            <family val="2"/>
          </rPr>
          <t>Ô chỉ tiêu có định dạng số. Đơn vị tính x 1 (hoặc %)</t>
        </r>
      </text>
    </comment>
    <comment ref="A43" authorId="0" shapeId="0" xr:uid="{00000000-0006-0000-0200-000076000000}">
      <text>
        <r>
          <rPr>
            <sz val="10"/>
            <rFont val="Arial"/>
            <family val="2"/>
          </rPr>
          <t>Ô chỉ tiêu có định dạng số. Đơn vị tính x 1 (hoặc %)
Dữ liệu động đầu vào hợp lệ khi chỉ được thêm dòng trên ô này.</t>
        </r>
      </text>
    </comment>
    <comment ref="B43" authorId="0" shapeId="0" xr:uid="{00000000-0006-0000-0200-000077000000}">
      <text>
        <r>
          <rPr>
            <sz val="10"/>
            <rFont val="Arial"/>
            <family val="2"/>
          </rPr>
          <t>Ô chỉ tiêu có định dạng ký tự
Dữ liệu động đầu vào hợp lệ khi chỉ được thêm dòng trên ô này.</t>
        </r>
      </text>
    </comment>
    <comment ref="C43" authorId="0" shapeId="0" xr:uid="{00000000-0006-0000-0200-000078000000}">
      <text>
        <r>
          <rPr>
            <sz val="10"/>
            <rFont val="Arial"/>
            <family val="2"/>
          </rPr>
          <t>Ô chỉ tiêu có định dạng số. Đơn vị tính x 1 (hoặc %)
Dữ liệu động đầu vào hợp lệ khi chỉ được thêm dòng trên ô này.</t>
        </r>
      </text>
    </comment>
    <comment ref="D43" authorId="0" shapeId="0" xr:uid="{00000000-0006-0000-0200-000079000000}">
      <text>
        <r>
          <rPr>
            <sz val="10"/>
            <rFont val="Arial"/>
            <family val="2"/>
          </rPr>
          <t>Ô chỉ tiêu có định dạng số. Đơn vị tính x 1 (hoặc %)
Dữ liệu động đầu vào hợp lệ khi chỉ được thêm dòng trên ô này.</t>
        </r>
      </text>
    </comment>
    <comment ref="E43" authorId="0" shapeId="0" xr:uid="{00000000-0006-0000-0200-00007A000000}">
      <text>
        <r>
          <rPr>
            <sz val="10"/>
            <rFont val="Arial"/>
            <family val="2"/>
          </rPr>
          <t>Ô chỉ tiêu có định dạng số. Đơn vị tính x 1 (hoặc %)
Dữ liệu động đầu vào hợp lệ khi chỉ được thêm dòng trên ô này.</t>
        </r>
      </text>
    </comment>
    <comment ref="F43" authorId="0" shapeId="0" xr:uid="{00000000-0006-0000-0200-00007B000000}">
      <text>
        <r>
          <rPr>
            <sz val="10"/>
            <rFont val="Arial"/>
            <family val="2"/>
          </rPr>
          <t>Ô chỉ tiêu có định dạng số. Đơn vị tính x 1 (hoặc %)
Dữ liệu động đầu vào hợp lệ khi chỉ được thêm dòng trên ô này.</t>
        </r>
      </text>
    </comment>
    <comment ref="D44" authorId="0" shapeId="0" xr:uid="{00000000-0006-0000-0200-00007C000000}">
      <text>
        <r>
          <rPr>
            <sz val="10"/>
            <rFont val="Arial"/>
            <family val="2"/>
          </rPr>
          <t>Ô chỉ tiêu có định dạng số. Đơn vị tính x 1 (hoặc %)</t>
        </r>
      </text>
    </comment>
    <comment ref="E44" authorId="0" shapeId="0" xr:uid="{00000000-0006-0000-0200-00007D000000}">
      <text>
        <r>
          <rPr>
            <sz val="10"/>
            <rFont val="Arial"/>
            <family val="2"/>
          </rPr>
          <t>Ô chỉ tiêu có định dạng số. Đơn vị tính x 1 (hoặc %)</t>
        </r>
      </text>
    </comment>
    <comment ref="F44" authorId="0" shapeId="0" xr:uid="{00000000-0006-0000-0200-00007E000000}">
      <text>
        <r>
          <rPr>
            <sz val="10"/>
            <rFont val="Arial"/>
            <family val="2"/>
          </rPr>
          <t>Ô chỉ tiêu có định dạng số. Đơn vị tính x 1 (hoặc %)</t>
        </r>
      </text>
    </comment>
    <comment ref="D45" authorId="0" shapeId="0" xr:uid="{00000000-0006-0000-0200-00007F000000}">
      <text>
        <r>
          <rPr>
            <sz val="10"/>
            <rFont val="Arial"/>
            <family val="2"/>
          </rPr>
          <t>Ô chỉ tiêu có định dạng số. Đơn vị tính x 1 (hoặc %)</t>
        </r>
      </text>
    </comment>
    <comment ref="E45" authorId="0" shapeId="0" xr:uid="{00000000-0006-0000-0200-000080000000}">
      <text>
        <r>
          <rPr>
            <sz val="10"/>
            <rFont val="Arial"/>
            <family val="2"/>
          </rPr>
          <t>Ô chỉ tiêu có định dạng số. Đơn vị tính x 1 (hoặc %)</t>
        </r>
      </text>
    </comment>
    <comment ref="F45" authorId="0" shapeId="0" xr:uid="{00000000-0006-0000-0200-000081000000}">
      <text>
        <r>
          <rPr>
            <sz val="10"/>
            <rFont val="Arial"/>
            <family val="2"/>
          </rPr>
          <t>Ô chỉ tiêu có định dạng số. Đơn vị tính x 1 (hoặc %)</t>
        </r>
      </text>
    </comment>
    <comment ref="D46" authorId="0" shapeId="0" xr:uid="{00000000-0006-0000-0200-000082000000}">
      <text>
        <r>
          <rPr>
            <sz val="10"/>
            <rFont val="Arial"/>
            <family val="2"/>
          </rPr>
          <t>Ô chỉ tiêu có định dạng số. Đơn vị tính x 1 (hoặc %)</t>
        </r>
      </text>
    </comment>
    <comment ref="E46" authorId="0" shapeId="0" xr:uid="{00000000-0006-0000-0200-000083000000}">
      <text>
        <r>
          <rPr>
            <sz val="10"/>
            <rFont val="Arial"/>
            <family val="2"/>
          </rPr>
          <t>Ô chỉ tiêu có định dạng số. Đơn vị tính x 1 (hoặc %)</t>
        </r>
      </text>
    </comment>
    <comment ref="F46" authorId="0" shapeId="0" xr:uid="{00000000-0006-0000-0200-000084000000}">
      <text>
        <r>
          <rPr>
            <sz val="10"/>
            <rFont val="Arial"/>
            <family val="2"/>
          </rPr>
          <t>Ô chỉ tiêu có định dạng số. Đơn vị tính x 1 (hoặc %)</t>
        </r>
      </text>
    </comment>
    <comment ref="D47" authorId="0" shapeId="0" xr:uid="{00000000-0006-0000-0200-000085000000}">
      <text>
        <r>
          <rPr>
            <sz val="10"/>
            <rFont val="Arial"/>
            <family val="2"/>
          </rPr>
          <t>Ô chỉ tiêu có định dạng số. Đơn vị tính x 1 (hoặc %)</t>
        </r>
      </text>
    </comment>
    <comment ref="E47" authorId="0" shapeId="0" xr:uid="{00000000-0006-0000-0200-000086000000}">
      <text>
        <r>
          <rPr>
            <sz val="10"/>
            <rFont val="Arial"/>
            <family val="2"/>
          </rPr>
          <t>Ô chỉ tiêu có định dạng số. Đơn vị tính x 1 (hoặc %)</t>
        </r>
      </text>
    </comment>
    <comment ref="F47" authorId="0" shapeId="0" xr:uid="{00000000-0006-0000-0200-000087000000}">
      <text>
        <r>
          <rPr>
            <sz val="10"/>
            <rFont val="Arial"/>
            <family val="2"/>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0"/>
            <rFont val="Arial"/>
            <family val="2"/>
          </rPr>
          <t>Ô chỉ tiêu có định dạng ký tự
Dữ liệu động đầu vào hợp lệ khi chỉ được thêm dòng trên ô này.</t>
        </r>
      </text>
    </comment>
    <comment ref="B4" authorId="0" shapeId="0" xr:uid="{00000000-0006-0000-0300-000002000000}">
      <text>
        <r>
          <rPr>
            <sz val="10"/>
            <rFont val="Arial"/>
            <family val="2"/>
          </rPr>
          <t>Ô chỉ tiêu có định dạng ký tự
Dữ liệu động đầu vào hợp lệ khi chỉ được thêm dòng trên ô này.</t>
        </r>
      </text>
    </comment>
    <comment ref="C4" authorId="0" shapeId="0" xr:uid="{00000000-0006-0000-0300-000003000000}">
      <text>
        <r>
          <rPr>
            <sz val="10"/>
            <rFont val="Arial"/>
            <family val="2"/>
          </rPr>
          <t>Ô chỉ tiêu có định dạng ký tự
Dữ liệu động đầu vào hợp lệ khi chỉ được thêm dòng trên ô này.</t>
        </r>
      </text>
    </comment>
    <comment ref="D4" authorId="0" shapeId="0" xr:uid="{00000000-0006-0000-0300-000004000000}">
      <text>
        <r>
          <rPr>
            <sz val="10"/>
            <rFont val="Arial"/>
            <family val="2"/>
          </rPr>
          <t>Ô chỉ tiêu có định dạng số. Đơn vị tính x 1 (hoặc %)
Dữ liệu động đầu vào hợp lệ khi chỉ được thêm dòng trên ô này.</t>
        </r>
      </text>
    </comment>
    <comment ref="E4" authorId="0" shapeId="0" xr:uid="{00000000-0006-0000-0300-000005000000}">
      <text>
        <r>
          <rPr>
            <sz val="10"/>
            <rFont val="Arial"/>
            <family val="2"/>
          </rPr>
          <t>Ô chỉ tiêu có định dạng số. Đơn vị tính x 1 (hoặc %)
Dữ liệu động đầu vào hợp lệ khi chỉ được thêm dòng trên ô này.</t>
        </r>
      </text>
    </comment>
    <comment ref="F4" authorId="0" shapeId="0" xr:uid="{00000000-0006-0000-0300-000006000000}">
      <text>
        <r>
          <rPr>
            <sz val="10"/>
            <rFont val="Arial"/>
            <family val="2"/>
          </rPr>
          <t>Ô chỉ tiêu có định dạng số. Đơn vị tính x 1 (hoặc %)
Dữ liệu động đầu vào hợp lệ khi chỉ được thêm dòng trên ô này.</t>
        </r>
      </text>
    </comment>
    <comment ref="G4" authorId="0" shapeId="0" xr:uid="{00000000-0006-0000-0300-000007000000}">
      <text>
        <r>
          <rPr>
            <sz val="10"/>
            <rFont val="Arial"/>
            <family val="2"/>
          </rPr>
          <t>Ô chỉ tiêu có định dạng số. Đơn vị tính x 1 (hoặc %)
Dữ liệu động đầu vào hợp lệ khi chỉ được thêm dòng trên ô này.</t>
        </r>
      </text>
    </comment>
    <comment ref="A24" authorId="0" shapeId="0" xr:uid="{00000000-0006-0000-0300-000008000000}">
      <text>
        <r>
          <rPr>
            <sz val="10"/>
            <rFont val="Arial"/>
            <family val="2"/>
          </rPr>
          <t>Ô chỉ tiêu có định dạng ký tự
Dữ liệu động đầu vào hợp lệ khi chỉ được thêm dòng trên ô này.</t>
        </r>
      </text>
    </comment>
    <comment ref="B24" authorId="0" shapeId="0" xr:uid="{00000000-0006-0000-0300-000009000000}">
      <text>
        <r>
          <rPr>
            <sz val="10"/>
            <rFont val="Arial"/>
            <family val="2"/>
          </rPr>
          <t>Ô chỉ tiêu có định dạng ký tự
Dữ liệu động đầu vào hợp lệ khi chỉ được thêm dòng trên ô này.</t>
        </r>
      </text>
    </comment>
    <comment ref="C24" authorId="0" shapeId="0" xr:uid="{00000000-0006-0000-0300-00000A000000}">
      <text>
        <r>
          <rPr>
            <sz val="10"/>
            <rFont val="Arial"/>
            <family val="2"/>
          </rPr>
          <t>Ô chỉ tiêu có định dạng ký tự
Dữ liệu động đầu vào hợp lệ khi chỉ được thêm dòng trên ô này.</t>
        </r>
      </text>
    </comment>
    <comment ref="D24" authorId="0" shapeId="0" xr:uid="{00000000-0006-0000-0300-00000B000000}">
      <text>
        <r>
          <rPr>
            <sz val="10"/>
            <rFont val="Arial"/>
            <family val="2"/>
          </rPr>
          <t>Ô chỉ tiêu có định dạng số. Đơn vị tính x 1 (hoặc %)
Dữ liệu động đầu vào hợp lệ khi chỉ được thêm dòng trên ô này.</t>
        </r>
      </text>
    </comment>
    <comment ref="E24" authorId="0" shapeId="0" xr:uid="{00000000-0006-0000-0300-00000C000000}">
      <text>
        <r>
          <rPr>
            <sz val="10"/>
            <rFont val="Arial"/>
            <family val="2"/>
          </rPr>
          <t>Ô chỉ tiêu có định dạng số. Đơn vị tính x 1 (hoặc %)
Dữ liệu động đầu vào hợp lệ khi chỉ được thêm dòng trên ô này.</t>
        </r>
      </text>
    </comment>
    <comment ref="F24" authorId="0" shapeId="0" xr:uid="{00000000-0006-0000-0300-00000D000000}">
      <text>
        <r>
          <rPr>
            <sz val="10"/>
            <rFont val="Arial"/>
            <family val="2"/>
          </rPr>
          <t>Ô chỉ tiêu có định dạng số. Đơn vị tính x 1 (hoặc %)
Dữ liệu động đầu vào hợp lệ khi chỉ được thêm dòng trên ô này.</t>
        </r>
      </text>
    </comment>
    <comment ref="G24" authorId="0" shapeId="0" xr:uid="{00000000-0006-0000-0300-00000E000000}">
      <text>
        <r>
          <rPr>
            <sz val="10"/>
            <rFont val="Arial"/>
            <family val="2"/>
          </rPr>
          <t>Ô chỉ tiêu có định dạng số. Đơn vị tính x 1 (hoặc %)
Dữ liệu động đầu vào hợp lệ khi chỉ được thêm dòng trên ô này.</t>
        </r>
      </text>
    </comment>
    <comment ref="D25" authorId="0" shapeId="0" xr:uid="{00000000-0006-0000-0300-00000F000000}">
      <text>
        <r>
          <rPr>
            <sz val="10"/>
            <rFont val="Arial"/>
            <family val="2"/>
          </rPr>
          <t>Ô chỉ tiêu có định dạng số. Đơn vị tính x 1 (hoặc %)</t>
        </r>
      </text>
    </comment>
    <comment ref="E25" authorId="0" shapeId="0" xr:uid="{00000000-0006-0000-0300-000010000000}">
      <text>
        <r>
          <rPr>
            <sz val="10"/>
            <rFont val="Arial"/>
            <family val="2"/>
          </rPr>
          <t>Ô chỉ tiêu có định dạng số. Đơn vị tính x 1 (hoặc %)</t>
        </r>
      </text>
    </comment>
    <comment ref="F25" authorId="0" shapeId="0" xr:uid="{00000000-0006-0000-0300-000011000000}">
      <text>
        <r>
          <rPr>
            <sz val="10"/>
            <rFont val="Arial"/>
            <family val="2"/>
          </rPr>
          <t>Ô chỉ tiêu có định dạng số. Đơn vị tính x 1 (hoặc %)</t>
        </r>
      </text>
    </comment>
    <comment ref="G25" authorId="0" shapeId="0" xr:uid="{00000000-0006-0000-0300-000012000000}">
      <text>
        <r>
          <rPr>
            <sz val="10"/>
            <rFont val="Arial"/>
            <family val="2"/>
          </rPr>
          <t>Ô chỉ tiêu có định dạng số. Đơn vị tính x 1 (hoặc %)</t>
        </r>
      </text>
    </comment>
    <comment ref="A27" authorId="0" shapeId="0" xr:uid="{00000000-0006-0000-0300-000013000000}">
      <text>
        <r>
          <rPr>
            <sz val="10"/>
            <rFont val="Arial"/>
            <family val="2"/>
          </rPr>
          <t>Ô chỉ tiêu có định dạng ký tự
Dữ liệu động đầu vào hợp lệ khi chỉ được thêm dòng trên ô này.</t>
        </r>
      </text>
    </comment>
    <comment ref="B27" authorId="0" shapeId="0" xr:uid="{00000000-0006-0000-0300-000014000000}">
      <text>
        <r>
          <rPr>
            <sz val="10"/>
            <rFont val="Arial"/>
            <family val="2"/>
          </rPr>
          <t>Ô chỉ tiêu có định dạng ký tự
Dữ liệu động đầu vào hợp lệ khi chỉ được thêm dòng trên ô này.</t>
        </r>
      </text>
    </comment>
    <comment ref="C27" authorId="0" shapeId="0" xr:uid="{00000000-0006-0000-0300-000015000000}">
      <text>
        <r>
          <rPr>
            <sz val="10"/>
            <rFont val="Arial"/>
            <family val="2"/>
          </rPr>
          <t>Ô chỉ tiêu có định dạng ký tự
Dữ liệu động đầu vào hợp lệ khi chỉ được thêm dòng trên ô này.</t>
        </r>
      </text>
    </comment>
    <comment ref="D27" authorId="0" shapeId="0" xr:uid="{00000000-0006-0000-0300-000016000000}">
      <text>
        <r>
          <rPr>
            <sz val="10"/>
            <rFont val="Arial"/>
            <family val="2"/>
          </rPr>
          <t>Ô chỉ tiêu có định dạng số. Đơn vị tính x 1 (hoặc %)
Dữ liệu động đầu vào hợp lệ khi chỉ được thêm dòng trên ô này.</t>
        </r>
      </text>
    </comment>
    <comment ref="E27" authorId="0" shapeId="0" xr:uid="{00000000-0006-0000-0300-000017000000}">
      <text>
        <r>
          <rPr>
            <sz val="10"/>
            <rFont val="Arial"/>
            <family val="2"/>
          </rPr>
          <t>Ô chỉ tiêu có định dạng số. Đơn vị tính x 1 (hoặc %)
Dữ liệu động đầu vào hợp lệ khi chỉ được thêm dòng trên ô này.</t>
        </r>
      </text>
    </comment>
    <comment ref="F27" authorId="0" shapeId="0" xr:uid="{00000000-0006-0000-0300-000018000000}">
      <text>
        <r>
          <rPr>
            <sz val="10"/>
            <rFont val="Arial"/>
            <family val="2"/>
          </rPr>
          <t>Ô chỉ tiêu có định dạng số. Đơn vị tính x 1 (hoặc %)
Dữ liệu động đầu vào hợp lệ khi chỉ được thêm dòng trên ô này.</t>
        </r>
      </text>
    </comment>
    <comment ref="G27" authorId="0" shapeId="0" xr:uid="{00000000-0006-0000-0300-000019000000}">
      <text>
        <r>
          <rPr>
            <sz val="10"/>
            <rFont val="Arial"/>
            <family val="2"/>
          </rPr>
          <t>Ô chỉ tiêu có định dạng số. Đơn vị tính x 1 (hoặc %)
Dữ liệu động đầu vào hợp lệ khi chỉ được thêm dòng trên ô này.</t>
        </r>
      </text>
    </comment>
    <comment ref="D28" authorId="0" shapeId="0" xr:uid="{00000000-0006-0000-0300-00001A000000}">
      <text>
        <r>
          <rPr>
            <sz val="10"/>
            <rFont val="Arial"/>
            <family val="2"/>
          </rPr>
          <t>Ô chỉ tiêu có định dạng số. Đơn vị tính x 1 (hoặc %)</t>
        </r>
      </text>
    </comment>
    <comment ref="E28" authorId="0" shapeId="0" xr:uid="{00000000-0006-0000-0300-00001B000000}">
      <text>
        <r>
          <rPr>
            <sz val="10"/>
            <rFont val="Arial"/>
            <family val="2"/>
          </rPr>
          <t>Ô chỉ tiêu có định dạng số. Đơn vị tính x 1 (hoặc %)</t>
        </r>
      </text>
    </comment>
    <comment ref="F28" authorId="0" shapeId="0" xr:uid="{00000000-0006-0000-0300-00001C000000}">
      <text>
        <r>
          <rPr>
            <sz val="10"/>
            <rFont val="Arial"/>
            <family val="2"/>
          </rPr>
          <t>Ô chỉ tiêu có định dạng số. Đơn vị tính x 1 (hoặc %)</t>
        </r>
      </text>
    </comment>
    <comment ref="G28" authorId="0" shapeId="0" xr:uid="{00000000-0006-0000-0300-00001D000000}">
      <text>
        <r>
          <rPr>
            <sz val="10"/>
            <rFont val="Arial"/>
            <family val="2"/>
          </rPr>
          <t>Ô chỉ tiêu có định dạng số. Đơn vị tính x 1 (hoặc %)</t>
        </r>
      </text>
    </comment>
    <comment ref="A30" authorId="0" shapeId="0" xr:uid="{00000000-0006-0000-0300-00001E000000}">
      <text>
        <r>
          <rPr>
            <sz val="10"/>
            <rFont val="Arial"/>
            <family val="2"/>
          </rPr>
          <t>Ô chỉ tiêu có định dạng ký tự
Dữ liệu động đầu vào hợp lệ khi chỉ được thêm dòng trên ô này.</t>
        </r>
      </text>
    </comment>
    <comment ref="B30" authorId="0" shapeId="0" xr:uid="{00000000-0006-0000-0300-00001F000000}">
      <text>
        <r>
          <rPr>
            <sz val="10"/>
            <rFont val="Arial"/>
            <family val="2"/>
          </rPr>
          <t>Ô chỉ tiêu có định dạng ký tự
Dữ liệu động đầu vào hợp lệ khi chỉ được thêm dòng trên ô này.</t>
        </r>
      </text>
    </comment>
    <comment ref="C30" authorId="0" shapeId="0" xr:uid="{00000000-0006-0000-0300-000020000000}">
      <text>
        <r>
          <rPr>
            <sz val="10"/>
            <rFont val="Arial"/>
            <family val="2"/>
          </rPr>
          <t>Ô chỉ tiêu có định dạng ký tự
Dữ liệu động đầu vào hợp lệ khi chỉ được thêm dòng trên ô này.</t>
        </r>
      </text>
    </comment>
    <comment ref="D30" authorId="0" shapeId="0" xr:uid="{00000000-0006-0000-0300-000021000000}">
      <text>
        <r>
          <rPr>
            <sz val="10"/>
            <rFont val="Arial"/>
            <family val="2"/>
          </rPr>
          <t>Ô chỉ tiêu có định dạng số. Đơn vị tính x 1 (hoặc %)
Dữ liệu động đầu vào hợp lệ khi chỉ được thêm dòng trên ô này.</t>
        </r>
      </text>
    </comment>
    <comment ref="E30" authorId="0" shapeId="0" xr:uid="{00000000-0006-0000-0300-000022000000}">
      <text>
        <r>
          <rPr>
            <sz val="10"/>
            <rFont val="Arial"/>
            <family val="2"/>
          </rPr>
          <t>Ô chỉ tiêu có định dạng số. Đơn vị tính x 1 (hoặc %)
Dữ liệu động đầu vào hợp lệ khi chỉ được thêm dòng trên ô này.</t>
        </r>
      </text>
    </comment>
    <comment ref="F30" authorId="0" shapeId="0" xr:uid="{00000000-0006-0000-0300-000023000000}">
      <text>
        <r>
          <rPr>
            <sz val="10"/>
            <rFont val="Arial"/>
            <family val="2"/>
          </rPr>
          <t>Ô chỉ tiêu có định dạng số. Đơn vị tính x 1 (hoặc %)
Dữ liệu động đầu vào hợp lệ khi chỉ được thêm dòng trên ô này.</t>
        </r>
      </text>
    </comment>
    <comment ref="G30" authorId="0" shapeId="0" xr:uid="{00000000-0006-0000-0300-000024000000}">
      <text>
        <r>
          <rPr>
            <sz val="10"/>
            <rFont val="Arial"/>
            <family val="2"/>
          </rPr>
          <t>Ô chỉ tiêu có định dạng số. Đơn vị tính x 1 (hoặc %)
Dữ liệu động đầu vào hợp lệ khi chỉ được thêm dòng trên ô này.</t>
        </r>
      </text>
    </comment>
    <comment ref="D31" authorId="0" shapeId="0" xr:uid="{00000000-0006-0000-0300-000025000000}">
      <text>
        <r>
          <rPr>
            <sz val="10"/>
            <rFont val="Arial"/>
            <family val="2"/>
          </rPr>
          <t>Ô chỉ tiêu có định dạng số. Đơn vị tính x 1 (hoặc %)</t>
        </r>
      </text>
    </comment>
    <comment ref="E31" authorId="0" shapeId="0" xr:uid="{00000000-0006-0000-0300-000026000000}">
      <text>
        <r>
          <rPr>
            <sz val="10"/>
            <rFont val="Arial"/>
            <family val="2"/>
          </rPr>
          <t>Ô chỉ tiêu có định dạng số. Đơn vị tính x 1 (hoặc %)</t>
        </r>
      </text>
    </comment>
    <comment ref="F31" authorId="0" shapeId="0" xr:uid="{00000000-0006-0000-0300-000027000000}">
      <text>
        <r>
          <rPr>
            <sz val="10"/>
            <rFont val="Arial"/>
            <family val="2"/>
          </rPr>
          <t>Ô chỉ tiêu có định dạng số. Đơn vị tính x 1 (hoặc %)</t>
        </r>
      </text>
    </comment>
    <comment ref="G31" authorId="0" shapeId="0" xr:uid="{00000000-0006-0000-0300-000028000000}">
      <text>
        <r>
          <rPr>
            <sz val="10"/>
            <rFont val="Arial"/>
            <family val="2"/>
          </rPr>
          <t>Ô chỉ tiêu có định dạng số. Đơn vị tính x 1 (hoặc %)</t>
        </r>
      </text>
    </comment>
    <comment ref="D33" authorId="0" shapeId="0" xr:uid="{00000000-0006-0000-0300-000029000000}">
      <text>
        <r>
          <rPr>
            <sz val="10"/>
            <rFont val="Arial"/>
            <family val="2"/>
          </rPr>
          <t>Ô chỉ tiêu có định dạng số. Đơn vị tính x 1 (hoặc %)</t>
        </r>
      </text>
    </comment>
    <comment ref="E33" authorId="0" shapeId="0" xr:uid="{00000000-0006-0000-0300-00002A000000}">
      <text>
        <r>
          <rPr>
            <sz val="10"/>
            <rFont val="Arial"/>
            <family val="2"/>
          </rPr>
          <t>Ô chỉ tiêu có định dạng số. Đơn vị tính x 1 (hoặc %)</t>
        </r>
      </text>
    </comment>
    <comment ref="F33" authorId="0" shapeId="0" xr:uid="{00000000-0006-0000-0300-00002B000000}">
      <text>
        <r>
          <rPr>
            <sz val="10"/>
            <rFont val="Arial"/>
            <family val="2"/>
          </rPr>
          <t>Ô chỉ tiêu có định dạng số. Đơn vị tính x 1 (hoặc %)</t>
        </r>
      </text>
    </comment>
    <comment ref="G33" authorId="0" shapeId="0" xr:uid="{00000000-0006-0000-0300-00002C000000}">
      <text>
        <r>
          <rPr>
            <sz val="10"/>
            <rFont val="Arial"/>
            <family val="2"/>
          </rPr>
          <t>Ô chỉ tiêu có định dạng số. Đơn vị tính x 1 (hoặc %)</t>
        </r>
      </text>
    </comment>
    <comment ref="A34" authorId="0" shapeId="0" xr:uid="{00000000-0006-0000-0300-00002D000000}">
      <text>
        <r>
          <rPr>
            <sz val="10"/>
            <rFont val="Arial"/>
            <family val="2"/>
          </rPr>
          <t>Ô chỉ tiêu có định dạng ký tự
Dữ liệu động đầu vào hợp lệ khi chỉ được thêm dòng trên ô này.</t>
        </r>
      </text>
    </comment>
    <comment ref="B34" authorId="0" shapeId="0" xr:uid="{00000000-0006-0000-0300-00002E000000}">
      <text>
        <r>
          <rPr>
            <sz val="10"/>
            <rFont val="Arial"/>
            <family val="2"/>
          </rPr>
          <t>Ô chỉ tiêu có định dạng ký tự
Dữ liệu động đầu vào hợp lệ khi chỉ được thêm dòng trên ô này.</t>
        </r>
      </text>
    </comment>
    <comment ref="C34" authorId="0" shapeId="0" xr:uid="{00000000-0006-0000-0300-00002F000000}">
      <text>
        <r>
          <rPr>
            <sz val="10"/>
            <rFont val="Arial"/>
            <family val="2"/>
          </rPr>
          <t>Ô chỉ tiêu có định dạng ký tự
Dữ liệu động đầu vào hợp lệ khi chỉ được thêm dòng trên ô này.</t>
        </r>
      </text>
    </comment>
    <comment ref="F34" authorId="0" shapeId="0" xr:uid="{00000000-0006-0000-0300-000030000000}">
      <text>
        <r>
          <rPr>
            <sz val="10"/>
            <rFont val="Arial"/>
            <family val="2"/>
          </rPr>
          <t>Ô chỉ tiêu có định dạng số. Đơn vị tính x 1 (hoặc %)</t>
        </r>
      </text>
    </comment>
    <comment ref="G34" authorId="0" shapeId="0" xr:uid="{00000000-0006-0000-0300-000031000000}">
      <text>
        <r>
          <rPr>
            <sz val="10"/>
            <rFont val="Arial"/>
            <family val="2"/>
          </rPr>
          <t>Ô chỉ tiêu có định dạng số. Đơn vị tính x 1 (hoặc %)</t>
        </r>
      </text>
    </comment>
    <comment ref="D35" authorId="0" shapeId="0" xr:uid="{00000000-0006-0000-0300-000032000000}">
      <text>
        <r>
          <rPr>
            <sz val="10"/>
            <rFont val="Arial"/>
            <family val="2"/>
          </rPr>
          <t>Ô chỉ tiêu có định dạng số. Đơn vị tính x 1 (hoặc %)</t>
        </r>
      </text>
    </comment>
    <comment ref="E35" authorId="0" shapeId="0" xr:uid="{00000000-0006-0000-0300-000033000000}">
      <text>
        <r>
          <rPr>
            <sz val="10"/>
            <rFont val="Arial"/>
            <family val="2"/>
          </rPr>
          <t>Ô chỉ tiêu có định dạng số. Đơn vị tính x 1 (hoặc %)</t>
        </r>
      </text>
    </comment>
    <comment ref="F35" authorId="0" shapeId="0" xr:uid="{00000000-0006-0000-0300-000034000000}">
      <text>
        <r>
          <rPr>
            <sz val="10"/>
            <rFont val="Arial"/>
            <family val="2"/>
          </rPr>
          <t>Ô chỉ tiêu có định dạng số. Đơn vị tính x 1 (hoặc %)</t>
        </r>
      </text>
    </comment>
    <comment ref="G35" authorId="0" shapeId="0" xr:uid="{00000000-0006-0000-0300-000035000000}">
      <text>
        <r>
          <rPr>
            <sz val="10"/>
            <rFont val="Arial"/>
            <family val="2"/>
          </rPr>
          <t>Ô chỉ tiêu có định dạng số. Đơn vị tính x 1 (hoặc %)</t>
        </r>
      </text>
    </comment>
    <comment ref="A41" authorId="0" shapeId="0" xr:uid="{00000000-0006-0000-0300-000036000000}">
      <text>
        <r>
          <rPr>
            <sz val="10"/>
            <rFont val="Arial"/>
            <family val="2"/>
          </rPr>
          <t>Ô chỉ tiêu có định dạng ký tự
Dữ liệu động đầu vào hợp lệ khi chỉ được thêm dòng trên ô này.</t>
        </r>
      </text>
    </comment>
    <comment ref="B41" authorId="0" shapeId="0" xr:uid="{00000000-0006-0000-0300-000037000000}">
      <text>
        <r>
          <rPr>
            <sz val="10"/>
            <rFont val="Arial"/>
            <family val="2"/>
          </rPr>
          <t>Ô chỉ tiêu có định dạng ký tự
Dữ liệu động đầu vào hợp lệ khi chỉ được thêm dòng trên ô này.</t>
        </r>
      </text>
    </comment>
    <comment ref="C41" authorId="0" shapeId="0" xr:uid="{00000000-0006-0000-0300-000038000000}">
      <text>
        <r>
          <rPr>
            <sz val="10"/>
            <rFont val="Arial"/>
            <family val="2"/>
          </rPr>
          <t>Ô chỉ tiêu có định dạng ký tự
Dữ liệu động đầu vào hợp lệ khi chỉ được thêm dòng trên ô này.</t>
        </r>
      </text>
    </comment>
    <comment ref="D41" authorId="0" shapeId="0" xr:uid="{00000000-0006-0000-0300-000039000000}">
      <text>
        <r>
          <rPr>
            <sz val="10"/>
            <rFont val="Arial"/>
            <family val="2"/>
          </rPr>
          <t>Ô chỉ tiêu có định dạng số. Đơn vị tính x 1 (hoặc %)
Dữ liệu động đầu vào hợp lệ khi chỉ được thêm dòng trên ô này.</t>
        </r>
      </text>
    </comment>
    <comment ref="E41" authorId="0" shapeId="0" xr:uid="{00000000-0006-0000-0300-00003A000000}">
      <text>
        <r>
          <rPr>
            <sz val="10"/>
            <rFont val="Arial"/>
            <family val="2"/>
          </rPr>
          <t>Ô chỉ tiêu có định dạng số. Đơn vị tính x 1 (hoặc %)
Dữ liệu động đầu vào hợp lệ khi chỉ được thêm dòng trên ô này.</t>
        </r>
      </text>
    </comment>
    <comment ref="D42" authorId="0" shapeId="0" xr:uid="{00000000-0006-0000-0300-00003B000000}">
      <text>
        <r>
          <rPr>
            <sz val="10"/>
            <rFont val="Arial"/>
            <family val="2"/>
          </rPr>
          <t>Ô chỉ tiêu có định dạng số. Đơn vị tính x 1 (hoặc %)</t>
        </r>
      </text>
    </comment>
    <comment ref="E42" authorId="0" shapeId="0" xr:uid="{00000000-0006-0000-0300-00003C000000}">
      <text>
        <r>
          <rPr>
            <sz val="10"/>
            <rFont val="Arial"/>
            <family val="2"/>
          </rPr>
          <t>Ô chỉ tiêu có định dạng số. Đơn vị tính x 1 (hoặc %)</t>
        </r>
      </text>
    </comment>
    <comment ref="F42" authorId="0" shapeId="0" xr:uid="{00000000-0006-0000-0300-00003D000000}">
      <text>
        <r>
          <rPr>
            <sz val="10"/>
            <rFont val="Arial"/>
            <family val="2"/>
          </rPr>
          <t>Ô chỉ tiêu có định dạng số. Đơn vị tính x 1 (hoặc %)</t>
        </r>
      </text>
    </comment>
    <comment ref="G42" authorId="0" shapeId="0" xr:uid="{00000000-0006-0000-0300-00003E000000}">
      <text>
        <r>
          <rPr>
            <sz val="10"/>
            <rFont val="Arial"/>
            <family val="2"/>
          </rPr>
          <t>Ô chỉ tiêu có định dạng số. Đơn vị tính x 1 (hoặc %)</t>
        </r>
      </text>
    </comment>
    <comment ref="D43" authorId="0" shapeId="0" xr:uid="{00000000-0006-0000-0300-00003F000000}">
      <text>
        <r>
          <rPr>
            <sz val="10"/>
            <rFont val="Arial"/>
            <family val="2"/>
          </rPr>
          <t>Ô chỉ tiêu có định dạng số. Đơn vị tính x 1 (hoặc %)</t>
        </r>
      </text>
    </comment>
    <comment ref="E43" authorId="0" shapeId="0" xr:uid="{00000000-0006-0000-0300-000040000000}">
      <text>
        <r>
          <rPr>
            <sz val="10"/>
            <rFont val="Arial"/>
            <family val="2"/>
          </rPr>
          <t>Ô chỉ tiêu có định dạng số. Đơn vị tính x 1 (hoặc %)</t>
        </r>
      </text>
    </comment>
    <comment ref="F43" authorId="0" shapeId="0" xr:uid="{00000000-0006-0000-0300-000041000000}">
      <text>
        <r>
          <rPr>
            <sz val="10"/>
            <rFont val="Arial"/>
            <family val="2"/>
          </rPr>
          <t>Ô chỉ tiêu có định dạng số. Đơn vị tính x 1 (hoặc %)</t>
        </r>
      </text>
    </comment>
    <comment ref="G43" authorId="0" shapeId="0" xr:uid="{00000000-0006-0000-0300-000042000000}">
      <text>
        <r>
          <rPr>
            <sz val="10"/>
            <rFont val="Arial"/>
            <family val="2"/>
          </rPr>
          <t>Ô chỉ tiêu có định dạng số. Đơn vị tính x 1 (hoặc %)</t>
        </r>
      </text>
    </comment>
    <comment ref="A45" authorId="0" shapeId="0" xr:uid="{00000000-0006-0000-0300-000043000000}">
      <text>
        <r>
          <rPr>
            <sz val="10"/>
            <rFont val="Arial"/>
            <family val="2"/>
          </rPr>
          <t>Ô chỉ tiêu có định dạng ký tự
Dữ liệu động đầu vào hợp lệ khi chỉ được thêm dòng trên ô này.</t>
        </r>
      </text>
    </comment>
    <comment ref="B45" authorId="0" shapeId="0" xr:uid="{00000000-0006-0000-0300-000044000000}">
      <text>
        <r>
          <rPr>
            <sz val="10"/>
            <rFont val="Arial"/>
            <family val="2"/>
          </rPr>
          <t>Ô chỉ tiêu có định dạng ký tự
Dữ liệu động đầu vào hợp lệ khi chỉ được thêm dòng trên ô này.</t>
        </r>
      </text>
    </comment>
    <comment ref="C45" authorId="0" shapeId="0" xr:uid="{00000000-0006-0000-0300-000045000000}">
      <text>
        <r>
          <rPr>
            <sz val="10"/>
            <rFont val="Arial"/>
            <family val="2"/>
          </rPr>
          <t>Ô chỉ tiêu có định dạng ký tự
Dữ liệu động đầu vào hợp lệ khi chỉ được thêm dòng trên ô này.</t>
        </r>
      </text>
    </comment>
    <comment ref="D45" authorId="0" shapeId="0" xr:uid="{00000000-0006-0000-0300-000046000000}">
      <text>
        <r>
          <rPr>
            <sz val="10"/>
            <rFont val="Arial"/>
            <family val="2"/>
          </rPr>
          <t>Ô chỉ tiêu có định dạng số. Đơn vị tính x 1 (hoặc %)
Dữ liệu động đầu vào hợp lệ khi chỉ được thêm dòng trên ô này.</t>
        </r>
      </text>
    </comment>
    <comment ref="E45" authorId="0" shapeId="0" xr:uid="{00000000-0006-0000-0300-000047000000}">
      <text>
        <r>
          <rPr>
            <sz val="10"/>
            <rFont val="Arial"/>
            <family val="2"/>
          </rPr>
          <t>Ô chỉ tiêu có định dạng số. Đơn vị tính x 1 (hoặc %)
Dữ liệu động đầu vào hợp lệ khi chỉ được thêm dòng trên ô này.</t>
        </r>
      </text>
    </comment>
    <comment ref="F45" authorId="0" shapeId="0" xr:uid="{00000000-0006-0000-0300-000048000000}">
      <text>
        <r>
          <rPr>
            <sz val="10"/>
            <rFont val="Arial"/>
            <family val="2"/>
          </rPr>
          <t>Ô chỉ tiêu có định dạng số. Đơn vị tính x 1 (hoặc %)
Dữ liệu động đầu vào hợp lệ khi chỉ được thêm dòng trên ô này.</t>
        </r>
      </text>
    </comment>
    <comment ref="G45" authorId="0" shapeId="0" xr:uid="{00000000-0006-0000-0300-000049000000}">
      <text>
        <r>
          <rPr>
            <sz val="10"/>
            <rFont val="Arial"/>
            <family val="2"/>
          </rPr>
          <t>Ô chỉ tiêu có định dạng số. Đơn vị tính x 1 (hoặc %)
Dữ liệu động đầu vào hợp lệ khi chỉ được thêm dòng trên ô này.</t>
        </r>
      </text>
    </comment>
    <comment ref="D46" authorId="0" shapeId="0" xr:uid="{00000000-0006-0000-0300-00004A000000}">
      <text>
        <r>
          <rPr>
            <sz val="10"/>
            <rFont val="Arial"/>
            <family val="2"/>
          </rPr>
          <t>Ô chỉ tiêu có định dạng số. Đơn vị tính x 1 (hoặc %)</t>
        </r>
      </text>
    </comment>
    <comment ref="E46" authorId="0" shapeId="0" xr:uid="{00000000-0006-0000-0300-00004B000000}">
      <text>
        <r>
          <rPr>
            <sz val="10"/>
            <rFont val="Arial"/>
            <family val="2"/>
          </rPr>
          <t>Ô chỉ tiêu có định dạng số. Đơn vị tính x 1 (hoặc %)</t>
        </r>
      </text>
    </comment>
    <comment ref="F46" authorId="0" shapeId="0" xr:uid="{00000000-0006-0000-0300-00004C000000}">
      <text>
        <r>
          <rPr>
            <sz val="10"/>
            <rFont val="Arial"/>
            <family val="2"/>
          </rPr>
          <t>Ô chỉ tiêu có định dạng số. Đơn vị tính x 1 (hoặc %)</t>
        </r>
      </text>
    </comment>
    <comment ref="G46" authorId="0" shapeId="0" xr:uid="{00000000-0006-0000-0300-00004D000000}">
      <text>
        <r>
          <rPr>
            <sz val="10"/>
            <rFont val="Arial"/>
            <family val="2"/>
          </rPr>
          <t>Ô chỉ tiêu có định dạng số. Đơn vị tính x 1 (hoặc %)</t>
        </r>
      </text>
    </comment>
    <comment ref="A48" authorId="0" shapeId="0" xr:uid="{00000000-0006-0000-0300-00004E000000}">
      <text>
        <r>
          <rPr>
            <sz val="10"/>
            <rFont val="Arial"/>
            <family val="2"/>
          </rPr>
          <t>Ô chỉ tiêu có định dạng ký tự
Dữ liệu động đầu vào hợp lệ khi chỉ được thêm dòng trên ô này.</t>
        </r>
      </text>
    </comment>
    <comment ref="B48" authorId="0" shapeId="0" xr:uid="{00000000-0006-0000-0300-00004F000000}">
      <text>
        <r>
          <rPr>
            <sz val="10"/>
            <rFont val="Arial"/>
            <family val="2"/>
          </rPr>
          <t>Ô chỉ tiêu có định dạng ký tự
Dữ liệu động đầu vào hợp lệ khi chỉ được thêm dòng trên ô này.</t>
        </r>
      </text>
    </comment>
    <comment ref="C48" authorId="0" shapeId="0" xr:uid="{00000000-0006-0000-0300-000050000000}">
      <text>
        <r>
          <rPr>
            <sz val="10"/>
            <rFont val="Arial"/>
            <family val="2"/>
          </rPr>
          <t>Ô chỉ tiêu có định dạng ký tự
Dữ liệu động đầu vào hợp lệ khi chỉ được thêm dòng trên ô này.</t>
        </r>
      </text>
    </comment>
    <comment ref="D48" authorId="0" shapeId="0" xr:uid="{00000000-0006-0000-0300-000051000000}">
      <text>
        <r>
          <rPr>
            <sz val="10"/>
            <rFont val="Arial"/>
            <family val="2"/>
          </rPr>
          <t>Ô chỉ tiêu có định dạng số. Đơn vị tính x 1 (hoặc %)</t>
        </r>
      </text>
    </comment>
    <comment ref="E48" authorId="0" shapeId="0" xr:uid="{00000000-0006-0000-0300-000052000000}">
      <text>
        <r>
          <rPr>
            <sz val="10"/>
            <rFont val="Arial"/>
            <family val="2"/>
          </rPr>
          <t>Ô chỉ tiêu có định dạng số. Đơn vị tính x 1 (hoặc %)</t>
        </r>
      </text>
    </comment>
    <comment ref="F48" authorId="0" shapeId="0" xr:uid="{00000000-0006-0000-0300-000053000000}">
      <text>
        <r>
          <rPr>
            <sz val="10"/>
            <rFont val="Arial"/>
            <family val="2"/>
          </rPr>
          <t>Ô chỉ tiêu có định dạng số. Đơn vị tính x 1 (hoặc %)</t>
        </r>
      </text>
    </comment>
    <comment ref="G48" authorId="0" shapeId="0" xr:uid="{00000000-0006-0000-0300-000054000000}">
      <text>
        <r>
          <rPr>
            <sz val="10"/>
            <rFont val="Arial"/>
            <family val="2"/>
          </rPr>
          <t>Ô chỉ tiêu có định dạng số. Đơn vị tính x 1 (hoặc %)</t>
        </r>
      </text>
    </comment>
    <comment ref="E49" authorId="0" shapeId="0" xr:uid="{00000000-0006-0000-0300-000055000000}">
      <text>
        <r>
          <rPr>
            <sz val="10"/>
            <rFont val="Arial"/>
            <family val="2"/>
          </rPr>
          <t>Ô chỉ tiêu có định dạng số. Đơn vị tính x 1 (hoặc %)</t>
        </r>
      </text>
    </comment>
    <comment ref="F49" authorId="0" shapeId="0" xr:uid="{00000000-0006-0000-0300-000056000000}">
      <text>
        <r>
          <rPr>
            <sz val="10"/>
            <rFont val="Arial"/>
            <family val="2"/>
          </rPr>
          <t>Ô chỉ tiêu có định dạng số. Đơn vị tính x 1 (hoặc %)</t>
        </r>
      </text>
    </comment>
    <comment ref="G49" authorId="0" shapeId="0" xr:uid="{00000000-0006-0000-0300-000057000000}">
      <text>
        <r>
          <rPr>
            <sz val="10"/>
            <rFont val="Arial"/>
            <family val="2"/>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400-000001000000}">
      <text>
        <r>
          <rPr>
            <sz val="10"/>
            <rFont val="Arial"/>
            <family val="2"/>
          </rPr>
          <t>Ô chỉ tiêu có định dạng ký tự</t>
        </r>
      </text>
    </comment>
    <comment ref="D3" authorId="0" shapeId="0" xr:uid="{00000000-0006-0000-0400-000002000000}">
      <text>
        <r>
          <rPr>
            <sz val="10"/>
            <rFont val="Arial"/>
            <family val="2"/>
          </rPr>
          <t>Ô chỉ tiêu có định dạng ký tự</t>
        </r>
      </text>
    </comment>
    <comment ref="E3" authorId="0" shapeId="0" xr:uid="{00000000-0006-0000-0400-000003000000}">
      <text>
        <r>
          <rPr>
            <sz val="10"/>
            <rFont val="Arial"/>
            <family val="2"/>
          </rPr>
          <t>Ô chỉ tiêu có định dạng ký tự</t>
        </r>
      </text>
    </comment>
    <comment ref="F3" authorId="0" shapeId="0" xr:uid="{00000000-0006-0000-0400-000004000000}">
      <text>
        <r>
          <rPr>
            <sz val="10"/>
            <rFont val="Arial"/>
            <family val="2"/>
          </rPr>
          <t>Ô chỉ tiêu có định dạng số. Đơn vị tính x 1 (hoặc %)</t>
        </r>
      </text>
    </comment>
    <comment ref="G3" authorId="0" shapeId="0" xr:uid="{00000000-0006-0000-0400-000005000000}">
      <text>
        <r>
          <rPr>
            <sz val="10"/>
            <rFont val="Arial"/>
            <family val="2"/>
          </rPr>
          <t>Ô chỉ tiêu có định dạng ký tự</t>
        </r>
      </text>
    </comment>
    <comment ref="H3" authorId="0" shapeId="0" xr:uid="{00000000-0006-0000-0400-000006000000}">
      <text>
        <r>
          <rPr>
            <sz val="10"/>
            <rFont val="Arial"/>
            <family val="2"/>
          </rPr>
          <t>Ô chỉ tiêu có định dạng số. Đơn vị tính x 1 (hoặc %)</t>
        </r>
      </text>
    </comment>
    <comment ref="I3" authorId="0" shapeId="0" xr:uid="{00000000-0006-0000-0400-000007000000}">
      <text>
        <r>
          <rPr>
            <sz val="10"/>
            <rFont val="Arial"/>
            <family val="2"/>
          </rPr>
          <t>Ô chỉ tiêu có định dạng ký tự</t>
        </r>
      </text>
    </comment>
    <comment ref="J3" authorId="0" shapeId="0" xr:uid="{00000000-0006-0000-0400-000008000000}">
      <text>
        <r>
          <rPr>
            <sz val="10"/>
            <rFont val="Arial"/>
            <family val="2"/>
          </rPr>
          <t>Ô chỉ tiêu có định dạng số. Đơn vị tính x 1 (hoặc %)</t>
        </r>
      </text>
    </comment>
    <comment ref="A5" authorId="0" shapeId="0" xr:uid="{00000000-0006-0000-0400-000009000000}">
      <text>
        <r>
          <rPr>
            <sz val="10"/>
            <rFont val="Arial"/>
            <family val="2"/>
          </rPr>
          <t>Ô chỉ tiêu có định dạng ký tự
Dữ liệu động đầu vào hợp lệ khi chỉ được thêm dòng trên ô này.</t>
        </r>
      </text>
    </comment>
    <comment ref="B5" authorId="0" shapeId="0" xr:uid="{00000000-0006-0000-0400-00000A000000}">
      <text>
        <r>
          <rPr>
            <sz val="10"/>
            <rFont val="Arial"/>
            <family val="2"/>
          </rPr>
          <t>Ô chỉ tiêu có định dạng ký tự
Dữ liệu động đầu vào hợp lệ khi chỉ được thêm dòng trên ô này.</t>
        </r>
      </text>
    </comment>
    <comment ref="C5" authorId="0" shapeId="0" xr:uid="{00000000-0006-0000-0400-00000B000000}">
      <text>
        <r>
          <rPr>
            <sz val="10"/>
            <rFont val="Arial"/>
            <family val="2"/>
          </rPr>
          <t>Ô chỉ tiêu có định dạng ký tự
Dữ liệu động đầu vào hợp lệ khi chỉ được thêm dòng trên ô này.</t>
        </r>
      </text>
    </comment>
    <comment ref="D5" authorId="0" shapeId="0" xr:uid="{00000000-0006-0000-0400-00000C000000}">
      <text>
        <r>
          <rPr>
            <sz val="10"/>
            <rFont val="Arial"/>
            <family val="2"/>
          </rPr>
          <t>Ô chỉ tiêu có định dạng ký tự
Dữ liệu động đầu vào hợp lệ khi chỉ được thêm dòng trên ô này.</t>
        </r>
      </text>
    </comment>
    <comment ref="E5" authorId="0" shapeId="0" xr:uid="{00000000-0006-0000-0400-00000D000000}">
      <text>
        <r>
          <rPr>
            <sz val="10"/>
            <rFont val="Arial"/>
            <family val="2"/>
          </rPr>
          <t>Ô chỉ tiêu có định dạng ký tự
Dữ liệu động đầu vào hợp lệ khi chỉ được thêm dòng trên ô này.</t>
        </r>
      </text>
    </comment>
    <comment ref="F5" authorId="0" shapeId="0" xr:uid="{00000000-0006-0000-0400-00000E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400-00000F000000}">
      <text>
        <r>
          <rPr>
            <sz val="10"/>
            <rFont val="Arial"/>
            <family val="2"/>
          </rPr>
          <t>Ô chỉ tiêu có định dạng ký tự
Dữ liệu động đầu vào hợp lệ khi chỉ được thêm dòng trên ô này.</t>
        </r>
      </text>
    </comment>
    <comment ref="H5" authorId="0" shapeId="0" xr:uid="{00000000-0006-0000-0400-000010000000}">
      <text>
        <r>
          <rPr>
            <sz val="10"/>
            <rFont val="Arial"/>
            <family val="2"/>
          </rPr>
          <t>Ô chỉ tiêu có định dạng số. Đơn vị tính x 1 (hoặc %)
Dữ liệu động đầu vào hợp lệ khi chỉ được thêm dòng trên ô này.</t>
        </r>
      </text>
    </comment>
    <comment ref="I5" authorId="0" shapeId="0" xr:uid="{00000000-0006-0000-0400-000011000000}">
      <text>
        <r>
          <rPr>
            <sz val="10"/>
            <rFont val="Arial"/>
            <family val="2"/>
          </rPr>
          <t>Ô chỉ tiêu có định dạng ký tự
Dữ liệu động đầu vào hợp lệ khi chỉ được thêm dòng trên ô này.</t>
        </r>
      </text>
    </comment>
    <comment ref="J5" authorId="0" shapeId="0" xr:uid="{00000000-0006-0000-0400-000012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400-000013000000}">
      <text>
        <r>
          <rPr>
            <sz val="10"/>
            <rFont val="Arial"/>
            <family val="2"/>
          </rPr>
          <t>Ô chỉ tiêu có định dạng ký tự</t>
        </r>
      </text>
    </comment>
    <comment ref="D6" authorId="0" shapeId="0" xr:uid="{00000000-0006-0000-0400-000014000000}">
      <text>
        <r>
          <rPr>
            <sz val="10"/>
            <rFont val="Arial"/>
            <family val="2"/>
          </rPr>
          <t>Ô chỉ tiêu có định dạng ký tự</t>
        </r>
      </text>
    </comment>
    <comment ref="E6" authorId="0" shapeId="0" xr:uid="{00000000-0006-0000-0400-000015000000}">
      <text>
        <r>
          <rPr>
            <sz val="10"/>
            <rFont val="Arial"/>
            <family val="2"/>
          </rPr>
          <t>Ô chỉ tiêu có định dạng ký tự</t>
        </r>
      </text>
    </comment>
    <comment ref="F6" authorId="0" shapeId="0" xr:uid="{00000000-0006-0000-0400-000016000000}">
      <text>
        <r>
          <rPr>
            <sz val="10"/>
            <rFont val="Arial"/>
            <family val="2"/>
          </rPr>
          <t>Ô chỉ tiêu có định dạng số. Đơn vị tính x 1 (hoặc %)</t>
        </r>
      </text>
    </comment>
    <comment ref="G6" authorId="0" shapeId="0" xr:uid="{00000000-0006-0000-0400-000017000000}">
      <text>
        <r>
          <rPr>
            <sz val="10"/>
            <rFont val="Arial"/>
            <family val="2"/>
          </rPr>
          <t>Ô chỉ tiêu có định dạng ký tự</t>
        </r>
      </text>
    </comment>
    <comment ref="H6" authorId="0" shapeId="0" xr:uid="{00000000-0006-0000-0400-000018000000}">
      <text>
        <r>
          <rPr>
            <sz val="10"/>
            <rFont val="Arial"/>
            <family val="2"/>
          </rPr>
          <t>Ô chỉ tiêu có định dạng số. Đơn vị tính x 1 (hoặc %)</t>
        </r>
      </text>
    </comment>
    <comment ref="I6" authorId="0" shapeId="0" xr:uid="{00000000-0006-0000-0400-000019000000}">
      <text>
        <r>
          <rPr>
            <sz val="10"/>
            <rFont val="Arial"/>
            <family val="2"/>
          </rPr>
          <t>Ô chỉ tiêu có định dạng ký tự</t>
        </r>
      </text>
    </comment>
    <comment ref="J6" authorId="0" shapeId="0" xr:uid="{00000000-0006-0000-0400-00001A000000}">
      <text>
        <r>
          <rPr>
            <sz val="10"/>
            <rFont val="Arial"/>
            <family val="2"/>
          </rPr>
          <t>Ô chỉ tiêu có định dạng số. Đơn vị tính x 1 (hoặc %)</t>
        </r>
      </text>
    </comment>
    <comment ref="C7" authorId="0" shapeId="0" xr:uid="{00000000-0006-0000-0400-00001B000000}">
      <text>
        <r>
          <rPr>
            <sz val="10"/>
            <rFont val="Arial"/>
            <family val="2"/>
          </rPr>
          <t>Ô chỉ tiêu có định dạng ký tự</t>
        </r>
      </text>
    </comment>
    <comment ref="D7" authorId="0" shapeId="0" xr:uid="{00000000-0006-0000-0400-00001C000000}">
      <text>
        <r>
          <rPr>
            <sz val="10"/>
            <rFont val="Arial"/>
            <family val="2"/>
          </rPr>
          <t>Ô chỉ tiêu có định dạng ký tự</t>
        </r>
      </text>
    </comment>
    <comment ref="E7" authorId="0" shapeId="0" xr:uid="{00000000-0006-0000-0400-00001D000000}">
      <text>
        <r>
          <rPr>
            <sz val="10"/>
            <rFont val="Arial"/>
            <family val="2"/>
          </rPr>
          <t>Ô chỉ tiêu có định dạng ký tự</t>
        </r>
      </text>
    </comment>
    <comment ref="F7" authorId="0" shapeId="0" xr:uid="{00000000-0006-0000-0400-00001E000000}">
      <text>
        <r>
          <rPr>
            <sz val="10"/>
            <rFont val="Arial"/>
            <family val="2"/>
          </rPr>
          <t>Ô chỉ tiêu có định dạng số. Đơn vị tính x 1 (hoặc %)</t>
        </r>
      </text>
    </comment>
    <comment ref="G7" authorId="0" shapeId="0" xr:uid="{00000000-0006-0000-0400-00001F000000}">
      <text>
        <r>
          <rPr>
            <sz val="10"/>
            <rFont val="Arial"/>
            <family val="2"/>
          </rPr>
          <t>Ô chỉ tiêu có định dạng ký tự</t>
        </r>
      </text>
    </comment>
    <comment ref="H7" authorId="0" shapeId="0" xr:uid="{00000000-0006-0000-0400-000020000000}">
      <text>
        <r>
          <rPr>
            <sz val="10"/>
            <rFont val="Arial"/>
            <family val="2"/>
          </rPr>
          <t>Ô chỉ tiêu có định dạng số. Đơn vị tính x 1 (hoặc %)</t>
        </r>
      </text>
    </comment>
    <comment ref="I7" authorId="0" shapeId="0" xr:uid="{00000000-0006-0000-0400-000021000000}">
      <text>
        <r>
          <rPr>
            <sz val="10"/>
            <rFont val="Arial"/>
            <family val="2"/>
          </rPr>
          <t>Ô chỉ tiêu có định dạng ký tự</t>
        </r>
      </text>
    </comment>
    <comment ref="J7" authorId="0" shapeId="0" xr:uid="{00000000-0006-0000-0400-000022000000}">
      <text>
        <r>
          <rPr>
            <sz val="10"/>
            <rFont val="Arial"/>
            <family val="2"/>
          </rPr>
          <t>Ô chỉ tiêu có định dạng số. Đơn vị tính x 1 (hoặc %)</t>
        </r>
      </text>
    </comment>
    <comment ref="A9" authorId="0" shapeId="0" xr:uid="{00000000-0006-0000-0400-000023000000}">
      <text>
        <r>
          <rPr>
            <sz val="10"/>
            <rFont val="Arial"/>
            <family val="2"/>
          </rPr>
          <t>Ô chỉ tiêu có định dạng ký tự
Dữ liệu động đầu vào hợp lệ khi chỉ được thêm dòng trên ô này.</t>
        </r>
      </text>
    </comment>
    <comment ref="B9" authorId="0" shapeId="0" xr:uid="{00000000-0006-0000-0400-000024000000}">
      <text>
        <r>
          <rPr>
            <sz val="10"/>
            <rFont val="Arial"/>
            <family val="2"/>
          </rPr>
          <t>Ô chỉ tiêu có định dạng ký tự
Dữ liệu động đầu vào hợp lệ khi chỉ được thêm dòng trên ô này.</t>
        </r>
      </text>
    </comment>
    <comment ref="C9" authorId="0" shapeId="0" xr:uid="{00000000-0006-0000-0400-000025000000}">
      <text>
        <r>
          <rPr>
            <sz val="10"/>
            <rFont val="Arial"/>
            <family val="2"/>
          </rPr>
          <t>Ô chỉ tiêu có định dạng ký tự
Dữ liệu động đầu vào hợp lệ khi chỉ được thêm dòng trên ô này.</t>
        </r>
      </text>
    </comment>
    <comment ref="D9" authorId="0" shapeId="0" xr:uid="{00000000-0006-0000-0400-000026000000}">
      <text>
        <r>
          <rPr>
            <sz val="10"/>
            <rFont val="Arial"/>
            <family val="2"/>
          </rPr>
          <t>Ô chỉ tiêu có định dạng ký tự
Dữ liệu động đầu vào hợp lệ khi chỉ được thêm dòng trên ô này.</t>
        </r>
      </text>
    </comment>
    <comment ref="E9" authorId="0" shapeId="0" xr:uid="{00000000-0006-0000-0400-000027000000}">
      <text>
        <r>
          <rPr>
            <sz val="10"/>
            <rFont val="Arial"/>
            <family val="2"/>
          </rPr>
          <t>Ô chỉ tiêu có định dạng ký tự
Dữ liệu động đầu vào hợp lệ khi chỉ được thêm dòng trên ô này.</t>
        </r>
      </text>
    </comment>
    <comment ref="F9" authorId="0" shapeId="0" xr:uid="{00000000-0006-0000-0400-000028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400-000029000000}">
      <text>
        <r>
          <rPr>
            <sz val="10"/>
            <rFont val="Arial"/>
            <family val="2"/>
          </rPr>
          <t>Ô chỉ tiêu có định dạng ký tự
Dữ liệu động đầu vào hợp lệ khi chỉ được thêm dòng trên ô này.</t>
        </r>
      </text>
    </comment>
    <comment ref="H9" authorId="0" shapeId="0" xr:uid="{00000000-0006-0000-0400-00002A000000}">
      <text>
        <r>
          <rPr>
            <sz val="10"/>
            <rFont val="Arial"/>
            <family val="2"/>
          </rPr>
          <t>Ô chỉ tiêu có định dạng số. Đơn vị tính x 1 (hoặc %)
Dữ liệu động đầu vào hợp lệ khi chỉ được thêm dòng trên ô này.</t>
        </r>
      </text>
    </comment>
    <comment ref="I9" authorId="0" shapeId="0" xr:uid="{00000000-0006-0000-0400-00002B000000}">
      <text>
        <r>
          <rPr>
            <sz val="10"/>
            <rFont val="Arial"/>
            <family val="2"/>
          </rPr>
          <t>Ô chỉ tiêu có định dạng ký tự
Dữ liệu động đầu vào hợp lệ khi chỉ được thêm dòng trên ô này.</t>
        </r>
      </text>
    </comment>
    <comment ref="J9" authorId="0" shapeId="0" xr:uid="{00000000-0006-0000-0400-00002C000000}">
      <text>
        <r>
          <rPr>
            <sz val="10"/>
            <rFont val="Arial"/>
            <family val="2"/>
          </rPr>
          <t>Ô chỉ tiêu có định dạng số. Đơn vị tính x 1 (hoặc %)
Dữ liệu động đầu vào hợp lệ khi chỉ được thêm dòng trên ô này.</t>
        </r>
      </text>
    </comment>
    <comment ref="C10" authorId="0" shapeId="0" xr:uid="{00000000-0006-0000-0400-00002D000000}">
      <text>
        <r>
          <rPr>
            <sz val="10"/>
            <rFont val="Arial"/>
            <family val="2"/>
          </rPr>
          <t>Ô chỉ tiêu có định dạng ký tự</t>
        </r>
      </text>
    </comment>
    <comment ref="D10" authorId="0" shapeId="0" xr:uid="{00000000-0006-0000-0400-00002E000000}">
      <text>
        <r>
          <rPr>
            <sz val="10"/>
            <rFont val="Arial"/>
            <family val="2"/>
          </rPr>
          <t>Ô chỉ tiêu có định dạng ký tự</t>
        </r>
      </text>
    </comment>
    <comment ref="E10" authorId="0" shapeId="0" xr:uid="{00000000-0006-0000-0400-00002F000000}">
      <text>
        <r>
          <rPr>
            <sz val="10"/>
            <rFont val="Arial"/>
            <family val="2"/>
          </rPr>
          <t>Ô chỉ tiêu có định dạng ký tự</t>
        </r>
      </text>
    </comment>
    <comment ref="F10" authorId="0" shapeId="0" xr:uid="{00000000-0006-0000-0400-000030000000}">
      <text>
        <r>
          <rPr>
            <sz val="10"/>
            <rFont val="Arial"/>
            <family val="2"/>
          </rPr>
          <t>Ô chỉ tiêu có định dạng số. Đơn vị tính x 1 (hoặc %)</t>
        </r>
      </text>
    </comment>
    <comment ref="G10" authorId="0" shapeId="0" xr:uid="{00000000-0006-0000-0400-000031000000}">
      <text>
        <r>
          <rPr>
            <sz val="10"/>
            <rFont val="Arial"/>
            <family val="2"/>
          </rPr>
          <t>Ô chỉ tiêu có định dạng ký tự</t>
        </r>
      </text>
    </comment>
    <comment ref="H10" authorId="0" shapeId="0" xr:uid="{00000000-0006-0000-0400-000032000000}">
      <text>
        <r>
          <rPr>
            <sz val="10"/>
            <rFont val="Arial"/>
            <family val="2"/>
          </rPr>
          <t>Ô chỉ tiêu có định dạng số. Đơn vị tính x 1 (hoặc %)</t>
        </r>
      </text>
    </comment>
    <comment ref="I10" authorId="0" shapeId="0" xr:uid="{00000000-0006-0000-0400-000033000000}">
      <text>
        <r>
          <rPr>
            <sz val="10"/>
            <rFont val="Arial"/>
            <family val="2"/>
          </rPr>
          <t>Ô chỉ tiêu có định dạng ký tự</t>
        </r>
      </text>
    </comment>
    <comment ref="J10" authorId="0" shapeId="0" xr:uid="{00000000-0006-0000-0400-000034000000}">
      <text>
        <r>
          <rPr>
            <sz val="10"/>
            <rFont val="Arial"/>
            <family val="2"/>
          </rPr>
          <t>Ô chỉ tiêu có định dạng số. Đơn vị tính x 1 (hoặc %)</t>
        </r>
      </text>
    </comment>
    <comment ref="C11" authorId="0" shapeId="0" xr:uid="{00000000-0006-0000-0400-000035000000}">
      <text>
        <r>
          <rPr>
            <sz val="10"/>
            <rFont val="Arial"/>
            <family val="2"/>
          </rPr>
          <t>Ô chỉ tiêu có định dạng ký tự</t>
        </r>
      </text>
    </comment>
    <comment ref="D11" authorId="0" shapeId="0" xr:uid="{00000000-0006-0000-0400-000036000000}">
      <text>
        <r>
          <rPr>
            <sz val="10"/>
            <rFont val="Arial"/>
            <family val="2"/>
          </rPr>
          <t>Ô chỉ tiêu có định dạng ký tự</t>
        </r>
      </text>
    </comment>
    <comment ref="E11" authorId="0" shapeId="0" xr:uid="{00000000-0006-0000-0400-000037000000}">
      <text>
        <r>
          <rPr>
            <sz val="10"/>
            <rFont val="Arial"/>
            <family val="2"/>
          </rPr>
          <t>Ô chỉ tiêu có định dạng ký tự</t>
        </r>
      </text>
    </comment>
    <comment ref="F11" authorId="0" shapeId="0" xr:uid="{00000000-0006-0000-0400-000038000000}">
      <text>
        <r>
          <rPr>
            <sz val="10"/>
            <rFont val="Arial"/>
            <family val="2"/>
          </rPr>
          <t>Ô chỉ tiêu có định dạng số. Đơn vị tính x 1 (hoặc %)</t>
        </r>
      </text>
    </comment>
    <comment ref="G11" authorId="0" shapeId="0" xr:uid="{00000000-0006-0000-0400-000039000000}">
      <text>
        <r>
          <rPr>
            <sz val="10"/>
            <rFont val="Arial"/>
            <family val="2"/>
          </rPr>
          <t>Ô chỉ tiêu có định dạng ký tự</t>
        </r>
      </text>
    </comment>
    <comment ref="H11" authorId="0" shapeId="0" xr:uid="{00000000-0006-0000-0400-00003A000000}">
      <text>
        <r>
          <rPr>
            <sz val="10"/>
            <rFont val="Arial"/>
            <family val="2"/>
          </rPr>
          <t>Ô chỉ tiêu có định dạng số. Đơn vị tính x 1 (hoặc %)</t>
        </r>
      </text>
    </comment>
    <comment ref="I11" authorId="0" shapeId="0" xr:uid="{00000000-0006-0000-0400-00003B000000}">
      <text>
        <r>
          <rPr>
            <sz val="10"/>
            <rFont val="Arial"/>
            <family val="2"/>
          </rPr>
          <t>Ô chỉ tiêu có định dạng ký tự</t>
        </r>
      </text>
    </comment>
    <comment ref="J11" authorId="0" shapeId="0" xr:uid="{00000000-0006-0000-0400-00003C000000}">
      <text>
        <r>
          <rPr>
            <sz val="10"/>
            <rFont val="Arial"/>
            <family val="2"/>
          </rPr>
          <t>Ô chỉ tiêu có định dạng số. Đơn vị tính x 1 (hoặc %)</t>
        </r>
      </text>
    </comment>
    <comment ref="C12" authorId="0" shapeId="0" xr:uid="{00000000-0006-0000-0400-00003D000000}">
      <text>
        <r>
          <rPr>
            <sz val="10"/>
            <rFont val="Arial"/>
            <family val="2"/>
          </rPr>
          <t>Ô chỉ tiêu có định dạng ký tự</t>
        </r>
      </text>
    </comment>
    <comment ref="D12" authorId="0" shapeId="0" xr:uid="{00000000-0006-0000-0400-00003E000000}">
      <text>
        <r>
          <rPr>
            <sz val="10"/>
            <rFont val="Arial"/>
            <family val="2"/>
          </rPr>
          <t>Ô chỉ tiêu có định dạng ký tự</t>
        </r>
      </text>
    </comment>
    <comment ref="E12" authorId="0" shapeId="0" xr:uid="{00000000-0006-0000-0400-00003F000000}">
      <text>
        <r>
          <rPr>
            <sz val="10"/>
            <rFont val="Arial"/>
            <family val="2"/>
          </rPr>
          <t>Ô chỉ tiêu có định dạng ký tự</t>
        </r>
      </text>
    </comment>
    <comment ref="F12" authorId="0" shapeId="0" xr:uid="{00000000-0006-0000-0400-000040000000}">
      <text>
        <r>
          <rPr>
            <sz val="10"/>
            <rFont val="Arial"/>
            <family val="2"/>
          </rPr>
          <t>Ô chỉ tiêu có định dạng số. Đơn vị tính x 1 (hoặc %)</t>
        </r>
      </text>
    </comment>
    <comment ref="G12" authorId="0" shapeId="0" xr:uid="{00000000-0006-0000-0400-000041000000}">
      <text>
        <r>
          <rPr>
            <sz val="10"/>
            <rFont val="Arial"/>
            <family val="2"/>
          </rPr>
          <t>Ô chỉ tiêu có định dạng ký tự</t>
        </r>
      </text>
    </comment>
    <comment ref="H12" authorId="0" shapeId="0" xr:uid="{00000000-0006-0000-0400-000042000000}">
      <text>
        <r>
          <rPr>
            <sz val="10"/>
            <rFont val="Arial"/>
            <family val="2"/>
          </rPr>
          <t>Ô chỉ tiêu có định dạng số. Đơn vị tính x 1 (hoặc %)</t>
        </r>
      </text>
    </comment>
    <comment ref="I12" authorId="0" shapeId="0" xr:uid="{00000000-0006-0000-0400-000043000000}">
      <text>
        <r>
          <rPr>
            <sz val="10"/>
            <rFont val="Arial"/>
            <family val="2"/>
          </rPr>
          <t>Ô chỉ tiêu có định dạng ký tự</t>
        </r>
      </text>
    </comment>
    <comment ref="J12" authorId="0" shapeId="0" xr:uid="{00000000-0006-0000-0400-000044000000}">
      <text>
        <r>
          <rPr>
            <sz val="10"/>
            <rFont val="Arial"/>
            <family val="2"/>
          </rPr>
          <t>Ô chỉ tiêu có định dạng số. Đơn vị tính x 1 (hoặc %)</t>
        </r>
      </text>
    </comment>
    <comment ref="A14" authorId="0" shapeId="0" xr:uid="{00000000-0006-0000-0400-000045000000}">
      <text>
        <r>
          <rPr>
            <sz val="10"/>
            <rFont val="Arial"/>
            <family val="2"/>
          </rPr>
          <t>Ô chỉ tiêu có định dạng ký tự
Dữ liệu động đầu vào hợp lệ khi chỉ được thêm dòng trên ô này.</t>
        </r>
      </text>
    </comment>
    <comment ref="B14" authorId="0" shapeId="0" xr:uid="{00000000-0006-0000-0400-000046000000}">
      <text>
        <r>
          <rPr>
            <sz val="10"/>
            <rFont val="Arial"/>
            <family val="2"/>
          </rPr>
          <t>Ô chỉ tiêu có định dạng ký tự
Dữ liệu động đầu vào hợp lệ khi chỉ được thêm dòng trên ô này.</t>
        </r>
      </text>
    </comment>
    <comment ref="C14" authorId="0" shapeId="0" xr:uid="{00000000-0006-0000-0400-000047000000}">
      <text>
        <r>
          <rPr>
            <sz val="10"/>
            <rFont val="Arial"/>
            <family val="2"/>
          </rPr>
          <t>Ô chỉ tiêu có định dạng ký tự
Dữ liệu động đầu vào hợp lệ khi chỉ được thêm dòng trên ô này.</t>
        </r>
      </text>
    </comment>
    <comment ref="D14" authorId="0" shapeId="0" xr:uid="{00000000-0006-0000-0400-000048000000}">
      <text>
        <r>
          <rPr>
            <sz val="10"/>
            <rFont val="Arial"/>
            <family val="2"/>
          </rPr>
          <t>Ô chỉ tiêu có định dạng ký tự
Dữ liệu động đầu vào hợp lệ khi chỉ được thêm dòng trên ô này.</t>
        </r>
      </text>
    </comment>
    <comment ref="E14" authorId="0" shapeId="0" xr:uid="{00000000-0006-0000-0400-000049000000}">
      <text>
        <r>
          <rPr>
            <sz val="10"/>
            <rFont val="Arial"/>
            <family val="2"/>
          </rPr>
          <t>Ô chỉ tiêu có định dạng ký tự
Dữ liệu động đầu vào hợp lệ khi chỉ được thêm dòng trên ô này.</t>
        </r>
      </text>
    </comment>
    <comment ref="F14" authorId="0" shapeId="0" xr:uid="{00000000-0006-0000-0400-00004A000000}">
      <text>
        <r>
          <rPr>
            <sz val="10"/>
            <rFont val="Arial"/>
            <family val="2"/>
          </rPr>
          <t>Ô chỉ tiêu có định dạng số. Đơn vị tính x 1 (hoặc %)
Dữ liệu động đầu vào hợp lệ khi chỉ được thêm dòng trên ô này.</t>
        </r>
      </text>
    </comment>
    <comment ref="G14" authorId="0" shapeId="0" xr:uid="{00000000-0006-0000-0400-00004B000000}">
      <text>
        <r>
          <rPr>
            <sz val="10"/>
            <rFont val="Arial"/>
            <family val="2"/>
          </rPr>
          <t>Ô chỉ tiêu có định dạng ký tự
Dữ liệu động đầu vào hợp lệ khi chỉ được thêm dòng trên ô này.</t>
        </r>
      </text>
    </comment>
    <comment ref="H14" authorId="0" shapeId="0" xr:uid="{00000000-0006-0000-0400-00004C000000}">
      <text>
        <r>
          <rPr>
            <sz val="10"/>
            <rFont val="Arial"/>
            <family val="2"/>
          </rPr>
          <t>Ô chỉ tiêu có định dạng số. Đơn vị tính x 1 (hoặc %)
Dữ liệu động đầu vào hợp lệ khi chỉ được thêm dòng trên ô này.</t>
        </r>
      </text>
    </comment>
    <comment ref="I14" authorId="0" shapeId="0" xr:uid="{00000000-0006-0000-0400-00004D000000}">
      <text>
        <r>
          <rPr>
            <sz val="10"/>
            <rFont val="Arial"/>
            <family val="2"/>
          </rPr>
          <t>Ô chỉ tiêu có định dạng ký tự
Dữ liệu động đầu vào hợp lệ khi chỉ được thêm dòng trên ô này.</t>
        </r>
      </text>
    </comment>
    <comment ref="J14" authorId="0" shapeId="0" xr:uid="{00000000-0006-0000-0400-00004E000000}">
      <text>
        <r>
          <rPr>
            <sz val="10"/>
            <rFont val="Arial"/>
            <family val="2"/>
          </rPr>
          <t>Ô chỉ tiêu có định dạng số. Đơn vị tính x 1 (hoặc %)
Dữ liệu động đầu vào hợp lệ khi chỉ được thêm dòng trên ô này.</t>
        </r>
      </text>
    </comment>
    <comment ref="C15" authorId="0" shapeId="0" xr:uid="{00000000-0006-0000-0400-00004F000000}">
      <text>
        <r>
          <rPr>
            <sz val="10"/>
            <rFont val="Arial"/>
            <family val="2"/>
          </rPr>
          <t>Ô chỉ tiêu có định dạng ký tự</t>
        </r>
      </text>
    </comment>
    <comment ref="D15" authorId="0" shapeId="0" xr:uid="{00000000-0006-0000-0400-000050000000}">
      <text>
        <r>
          <rPr>
            <sz val="10"/>
            <rFont val="Arial"/>
            <family val="2"/>
          </rPr>
          <t>Ô chỉ tiêu có định dạng ký tự</t>
        </r>
      </text>
    </comment>
    <comment ref="E15" authorId="0" shapeId="0" xr:uid="{00000000-0006-0000-0400-000051000000}">
      <text>
        <r>
          <rPr>
            <sz val="10"/>
            <rFont val="Arial"/>
            <family val="2"/>
          </rPr>
          <t>Ô chỉ tiêu có định dạng ký tự</t>
        </r>
      </text>
    </comment>
    <comment ref="F15" authorId="0" shapeId="0" xr:uid="{00000000-0006-0000-0400-000052000000}">
      <text>
        <r>
          <rPr>
            <sz val="10"/>
            <rFont val="Arial"/>
            <family val="2"/>
          </rPr>
          <t>Ô chỉ tiêu có định dạng số. Đơn vị tính x 1 (hoặc %)</t>
        </r>
      </text>
    </comment>
    <comment ref="G15" authorId="0" shapeId="0" xr:uid="{00000000-0006-0000-0400-000053000000}">
      <text>
        <r>
          <rPr>
            <sz val="10"/>
            <rFont val="Arial"/>
            <family val="2"/>
          </rPr>
          <t>Ô chỉ tiêu có định dạng ký tự</t>
        </r>
      </text>
    </comment>
    <comment ref="H15" authorId="0" shapeId="0" xr:uid="{00000000-0006-0000-0400-000054000000}">
      <text>
        <r>
          <rPr>
            <sz val="10"/>
            <rFont val="Arial"/>
            <family val="2"/>
          </rPr>
          <t>Ô chỉ tiêu có định dạng số. Đơn vị tính x 1 (hoặc %)</t>
        </r>
      </text>
    </comment>
    <comment ref="I15" authorId="0" shapeId="0" xr:uid="{00000000-0006-0000-0400-000055000000}">
      <text>
        <r>
          <rPr>
            <sz val="10"/>
            <rFont val="Arial"/>
            <family val="2"/>
          </rPr>
          <t>Ô chỉ tiêu có định dạng ký tự</t>
        </r>
      </text>
    </comment>
    <comment ref="J15" authorId="0" shapeId="0" xr:uid="{00000000-0006-0000-0400-000056000000}">
      <text>
        <r>
          <rPr>
            <sz val="10"/>
            <rFont val="Arial"/>
            <family val="2"/>
          </rPr>
          <t>Ô chỉ tiêu có định dạng số. Đơn vị tính x 1 (hoặc %)</t>
        </r>
      </text>
    </comment>
    <comment ref="C16" authorId="0" shapeId="0" xr:uid="{00000000-0006-0000-0400-000057000000}">
      <text>
        <r>
          <rPr>
            <sz val="10"/>
            <rFont val="Arial"/>
            <family val="2"/>
          </rPr>
          <t>Ô chỉ tiêu có định dạng ký tự</t>
        </r>
      </text>
    </comment>
    <comment ref="D16" authorId="0" shapeId="0" xr:uid="{00000000-0006-0000-0400-000058000000}">
      <text>
        <r>
          <rPr>
            <sz val="10"/>
            <rFont val="Arial"/>
            <family val="2"/>
          </rPr>
          <t>Ô chỉ tiêu có định dạng ký tự</t>
        </r>
      </text>
    </comment>
    <comment ref="E16" authorId="0" shapeId="0" xr:uid="{00000000-0006-0000-0400-000059000000}">
      <text>
        <r>
          <rPr>
            <sz val="10"/>
            <rFont val="Arial"/>
            <family val="2"/>
          </rPr>
          <t>Ô chỉ tiêu có định dạng ký tự</t>
        </r>
      </text>
    </comment>
    <comment ref="F16" authorId="0" shapeId="0" xr:uid="{00000000-0006-0000-0400-00005A000000}">
      <text>
        <r>
          <rPr>
            <sz val="10"/>
            <rFont val="Arial"/>
            <family val="2"/>
          </rPr>
          <t>Ô chỉ tiêu có định dạng số. Đơn vị tính x 1 (hoặc %)</t>
        </r>
      </text>
    </comment>
    <comment ref="G16" authorId="0" shapeId="0" xr:uid="{00000000-0006-0000-0400-00005B000000}">
      <text>
        <r>
          <rPr>
            <sz val="10"/>
            <rFont val="Arial"/>
            <family val="2"/>
          </rPr>
          <t>Ô chỉ tiêu có định dạng ký tự</t>
        </r>
      </text>
    </comment>
    <comment ref="H16" authorId="0" shapeId="0" xr:uid="{00000000-0006-0000-0400-00005C000000}">
      <text>
        <r>
          <rPr>
            <sz val="10"/>
            <rFont val="Arial"/>
            <family val="2"/>
          </rPr>
          <t>Ô chỉ tiêu có định dạng số. Đơn vị tính x 1 (hoặc %)</t>
        </r>
      </text>
    </comment>
    <comment ref="I16" authorId="0" shapeId="0" xr:uid="{00000000-0006-0000-0400-00005D000000}">
      <text>
        <r>
          <rPr>
            <sz val="10"/>
            <rFont val="Arial"/>
            <family val="2"/>
          </rPr>
          <t>Ô chỉ tiêu có định dạng ký tự</t>
        </r>
      </text>
    </comment>
    <comment ref="J16" authorId="0" shapeId="0" xr:uid="{00000000-0006-0000-0400-00005E000000}">
      <text>
        <r>
          <rPr>
            <sz val="10"/>
            <rFont val="Arial"/>
            <family val="2"/>
          </rPr>
          <t>Ô chỉ tiêu có định dạng số. Đơn vị tính x 1 (hoặc %)</t>
        </r>
      </text>
    </comment>
    <comment ref="A18" authorId="0" shapeId="0" xr:uid="{00000000-0006-0000-0400-00005F000000}">
      <text>
        <r>
          <rPr>
            <sz val="10"/>
            <rFont val="Arial"/>
            <family val="2"/>
          </rPr>
          <t>Ô chỉ tiêu có định dạng ký tự
Dữ liệu động đầu vào hợp lệ khi chỉ được thêm dòng trên ô này.</t>
        </r>
      </text>
    </comment>
    <comment ref="B18" authorId="0" shapeId="0" xr:uid="{00000000-0006-0000-0400-000060000000}">
      <text>
        <r>
          <rPr>
            <sz val="10"/>
            <rFont val="Arial"/>
            <family val="2"/>
          </rPr>
          <t>Ô chỉ tiêu có định dạng ký tự
Dữ liệu động đầu vào hợp lệ khi chỉ được thêm dòng trên ô này.</t>
        </r>
      </text>
    </comment>
    <comment ref="C18" authorId="0" shapeId="0" xr:uid="{00000000-0006-0000-0400-000061000000}">
      <text>
        <r>
          <rPr>
            <sz val="10"/>
            <rFont val="Arial"/>
            <family val="2"/>
          </rPr>
          <t>Ô chỉ tiêu có định dạng ký tự
Dữ liệu động đầu vào hợp lệ khi chỉ được thêm dòng trên ô này.</t>
        </r>
      </text>
    </comment>
    <comment ref="D18" authorId="0" shapeId="0" xr:uid="{00000000-0006-0000-0400-000062000000}">
      <text>
        <r>
          <rPr>
            <sz val="10"/>
            <rFont val="Arial"/>
            <family val="2"/>
          </rPr>
          <t>Ô chỉ tiêu có định dạng ký tự
Dữ liệu động đầu vào hợp lệ khi chỉ được thêm dòng trên ô này.</t>
        </r>
      </text>
    </comment>
    <comment ref="E18" authorId="0" shapeId="0" xr:uid="{00000000-0006-0000-0400-000063000000}">
      <text>
        <r>
          <rPr>
            <sz val="10"/>
            <rFont val="Arial"/>
            <family val="2"/>
          </rPr>
          <t>Ô chỉ tiêu có định dạng ký tự
Dữ liệu động đầu vào hợp lệ khi chỉ được thêm dòng trên ô này.</t>
        </r>
      </text>
    </comment>
    <comment ref="F18" authorId="0" shapeId="0" xr:uid="{00000000-0006-0000-0400-000064000000}">
      <text>
        <r>
          <rPr>
            <sz val="10"/>
            <rFont val="Arial"/>
            <family val="2"/>
          </rPr>
          <t>Ô chỉ tiêu có định dạng số. Đơn vị tính x 1 (hoặc %)
Dữ liệu động đầu vào hợp lệ khi chỉ được thêm dòng trên ô này.</t>
        </r>
      </text>
    </comment>
    <comment ref="G18" authorId="0" shapeId="0" xr:uid="{00000000-0006-0000-0400-000065000000}">
      <text>
        <r>
          <rPr>
            <sz val="10"/>
            <rFont val="Arial"/>
            <family val="2"/>
          </rPr>
          <t>Ô chỉ tiêu có định dạng ký tự
Dữ liệu động đầu vào hợp lệ khi chỉ được thêm dòng trên ô này.</t>
        </r>
      </text>
    </comment>
    <comment ref="H18" authorId="0" shapeId="0" xr:uid="{00000000-0006-0000-0400-000066000000}">
      <text>
        <r>
          <rPr>
            <sz val="10"/>
            <rFont val="Arial"/>
            <family val="2"/>
          </rPr>
          <t>Ô chỉ tiêu có định dạng số. Đơn vị tính x 1 (hoặc %)
Dữ liệu động đầu vào hợp lệ khi chỉ được thêm dòng trên ô này.</t>
        </r>
      </text>
    </comment>
    <comment ref="I18" authorId="0" shapeId="0" xr:uid="{00000000-0006-0000-0400-000067000000}">
      <text>
        <r>
          <rPr>
            <sz val="10"/>
            <rFont val="Arial"/>
            <family val="2"/>
          </rPr>
          <t>Ô chỉ tiêu có định dạng ký tự
Dữ liệu động đầu vào hợp lệ khi chỉ được thêm dòng trên ô này.</t>
        </r>
      </text>
    </comment>
    <comment ref="J18" authorId="0" shapeId="0" xr:uid="{00000000-0006-0000-0400-000068000000}">
      <text>
        <r>
          <rPr>
            <sz val="10"/>
            <rFont val="Arial"/>
            <family val="2"/>
          </rPr>
          <t>Ô chỉ tiêu có định dạng số. Đơn vị tính x 1 (hoặc %)
Dữ liệu động đầu vào hợp lệ khi chỉ được thêm dòng trên ô này.</t>
        </r>
      </text>
    </comment>
    <comment ref="C19" authorId="0" shapeId="0" xr:uid="{00000000-0006-0000-0400-000069000000}">
      <text>
        <r>
          <rPr>
            <sz val="10"/>
            <rFont val="Arial"/>
            <family val="2"/>
          </rPr>
          <t>Ô chỉ tiêu có định dạng ký tự</t>
        </r>
      </text>
    </comment>
    <comment ref="D19" authorId="0" shapeId="0" xr:uid="{00000000-0006-0000-0400-00006A000000}">
      <text>
        <r>
          <rPr>
            <sz val="10"/>
            <rFont val="Arial"/>
            <family val="2"/>
          </rPr>
          <t>Ô chỉ tiêu có định dạng ký tự</t>
        </r>
      </text>
    </comment>
    <comment ref="E19" authorId="0" shapeId="0" xr:uid="{00000000-0006-0000-0400-00006B000000}">
      <text>
        <r>
          <rPr>
            <sz val="10"/>
            <rFont val="Arial"/>
            <family val="2"/>
          </rPr>
          <t>Ô chỉ tiêu có định dạng ký tự</t>
        </r>
      </text>
    </comment>
    <comment ref="F19" authorId="0" shapeId="0" xr:uid="{00000000-0006-0000-0400-00006C000000}">
      <text>
        <r>
          <rPr>
            <sz val="10"/>
            <rFont val="Arial"/>
            <family val="2"/>
          </rPr>
          <t>Ô chỉ tiêu có định dạng số. Đơn vị tính x 1 (hoặc %)</t>
        </r>
      </text>
    </comment>
    <comment ref="G19" authorId="0" shapeId="0" xr:uid="{00000000-0006-0000-0400-00006D000000}">
      <text>
        <r>
          <rPr>
            <sz val="10"/>
            <rFont val="Arial"/>
            <family val="2"/>
          </rPr>
          <t>Ô chỉ tiêu có định dạng ký tự</t>
        </r>
      </text>
    </comment>
    <comment ref="H19" authorId="0" shapeId="0" xr:uid="{00000000-0006-0000-0400-00006E000000}">
      <text>
        <r>
          <rPr>
            <sz val="10"/>
            <rFont val="Arial"/>
            <family val="2"/>
          </rPr>
          <t>Ô chỉ tiêu có định dạng số. Đơn vị tính x 1 (hoặc %)</t>
        </r>
      </text>
    </comment>
    <comment ref="I19" authorId="0" shapeId="0" xr:uid="{00000000-0006-0000-0400-00006F000000}">
      <text>
        <r>
          <rPr>
            <sz val="10"/>
            <rFont val="Arial"/>
            <family val="2"/>
          </rPr>
          <t>Ô chỉ tiêu có định dạng ký tự</t>
        </r>
      </text>
    </comment>
    <comment ref="J19" authorId="0" shapeId="0" xr:uid="{00000000-0006-0000-0400-000070000000}">
      <text>
        <r>
          <rPr>
            <sz val="10"/>
            <rFont val="Arial"/>
            <family val="2"/>
          </rPr>
          <t>Ô chỉ tiêu có định dạng số. Đơn vị tính x 1 (hoặc %)</t>
        </r>
      </text>
    </comment>
    <comment ref="C20" authorId="0" shapeId="0" xr:uid="{00000000-0006-0000-0400-000071000000}">
      <text>
        <r>
          <rPr>
            <sz val="10"/>
            <rFont val="Arial"/>
            <family val="2"/>
          </rPr>
          <t>Ô chỉ tiêu có định dạng ký tự</t>
        </r>
      </text>
    </comment>
    <comment ref="D20" authorId="0" shapeId="0" xr:uid="{00000000-0006-0000-0400-000072000000}">
      <text>
        <r>
          <rPr>
            <sz val="10"/>
            <rFont val="Arial"/>
            <family val="2"/>
          </rPr>
          <t>Ô chỉ tiêu có định dạng ký tự</t>
        </r>
      </text>
    </comment>
    <comment ref="E20" authorId="0" shapeId="0" xr:uid="{00000000-0006-0000-0400-000073000000}">
      <text>
        <r>
          <rPr>
            <sz val="10"/>
            <rFont val="Arial"/>
            <family val="2"/>
          </rPr>
          <t>Ô chỉ tiêu có định dạng ký tự</t>
        </r>
      </text>
    </comment>
    <comment ref="F20" authorId="0" shapeId="0" xr:uid="{00000000-0006-0000-0400-000074000000}">
      <text>
        <r>
          <rPr>
            <sz val="10"/>
            <rFont val="Arial"/>
            <family val="2"/>
          </rPr>
          <t>Ô chỉ tiêu có định dạng số. Đơn vị tính x 1 (hoặc %)</t>
        </r>
      </text>
    </comment>
    <comment ref="G20" authorId="0" shapeId="0" xr:uid="{00000000-0006-0000-0400-000075000000}">
      <text>
        <r>
          <rPr>
            <sz val="10"/>
            <rFont val="Arial"/>
            <family val="2"/>
          </rPr>
          <t>Ô chỉ tiêu có định dạng ký tự</t>
        </r>
      </text>
    </comment>
    <comment ref="H20" authorId="0" shapeId="0" xr:uid="{00000000-0006-0000-0400-000076000000}">
      <text>
        <r>
          <rPr>
            <sz val="10"/>
            <rFont val="Arial"/>
            <family val="2"/>
          </rPr>
          <t>Ô chỉ tiêu có định dạng số. Đơn vị tính x 1 (hoặc %)</t>
        </r>
      </text>
    </comment>
    <comment ref="I20" authorId="0" shapeId="0" xr:uid="{00000000-0006-0000-0400-000077000000}">
      <text>
        <r>
          <rPr>
            <sz val="10"/>
            <rFont val="Arial"/>
            <family val="2"/>
          </rPr>
          <t>Ô chỉ tiêu có định dạng ký tự</t>
        </r>
      </text>
    </comment>
    <comment ref="J20" authorId="0" shapeId="0" xr:uid="{00000000-0006-0000-0400-000078000000}">
      <text>
        <r>
          <rPr>
            <sz val="10"/>
            <rFont val="Arial"/>
            <family val="2"/>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500-000001000000}">
      <text>
        <r>
          <rPr>
            <sz val="10"/>
            <rFont val="Arial"/>
            <family val="2"/>
          </rPr>
          <t>Ô chỉ tiêu có định dạng số. Đơn vị tính x 1 (hoặc %)</t>
        </r>
      </text>
    </comment>
    <comment ref="E2" authorId="0" shapeId="0" xr:uid="{00000000-0006-0000-0500-000002000000}">
      <text>
        <r>
          <rPr>
            <sz val="10"/>
            <rFont val="Arial"/>
            <family val="2"/>
          </rPr>
          <t>Ô chỉ tiêu có định dạng số. Đơn vị tính x 1 (hoặc %)</t>
        </r>
      </text>
    </comment>
    <comment ref="D3" authorId="0" shapeId="0" xr:uid="{00000000-0006-0000-0500-000003000000}">
      <text>
        <r>
          <rPr>
            <sz val="10"/>
            <rFont val="Arial"/>
            <family val="2"/>
          </rPr>
          <t>Ô chỉ tiêu có định dạng số. Đơn vị tính x 1 (hoặc %)</t>
        </r>
      </text>
    </comment>
    <comment ref="E3" authorId="0" shapeId="0" xr:uid="{00000000-0006-0000-0500-000004000000}">
      <text>
        <r>
          <rPr>
            <sz val="10"/>
            <rFont val="Arial"/>
            <family val="2"/>
          </rPr>
          <t>Ô chỉ tiêu có định dạng số. Đơn vị tính x 1 (hoặc %)</t>
        </r>
      </text>
    </comment>
    <comment ref="D4" authorId="0" shapeId="0" xr:uid="{00000000-0006-0000-0500-000005000000}">
      <text>
        <r>
          <rPr>
            <sz val="10"/>
            <rFont val="Arial"/>
            <family val="2"/>
          </rPr>
          <t>Ô chỉ tiêu có định dạng số. Đơn vị tính x 1 (hoặc %)</t>
        </r>
      </text>
    </comment>
    <comment ref="E4" authorId="0" shapeId="0" xr:uid="{00000000-0006-0000-0500-000006000000}">
      <text>
        <r>
          <rPr>
            <sz val="10"/>
            <rFont val="Arial"/>
            <family val="2"/>
          </rPr>
          <t>Ô chỉ tiêu có định dạng số. Đơn vị tính x 1 (hoặc %)</t>
        </r>
      </text>
    </comment>
    <comment ref="D5" authorId="0" shapeId="0" xr:uid="{00000000-0006-0000-0500-000007000000}">
      <text>
        <r>
          <rPr>
            <sz val="10"/>
            <rFont val="Arial"/>
            <family val="2"/>
          </rPr>
          <t>Ô chỉ tiêu có định dạng số. Đơn vị tính x 1 (hoặc %)</t>
        </r>
      </text>
    </comment>
    <comment ref="E5" authorId="0" shapeId="0" xr:uid="{00000000-0006-0000-0500-000008000000}">
      <text>
        <r>
          <rPr>
            <sz val="10"/>
            <rFont val="Arial"/>
            <family val="2"/>
          </rPr>
          <t>Ô chỉ tiêu có định dạng số. Đơn vị tính x 1 (hoặc %)</t>
        </r>
      </text>
    </comment>
    <comment ref="D6" authorId="0" shapeId="0" xr:uid="{00000000-0006-0000-0500-000009000000}">
      <text>
        <r>
          <rPr>
            <sz val="10"/>
            <rFont val="Arial"/>
            <family val="2"/>
          </rPr>
          <t>Ô chỉ tiêu có định dạng số. Đơn vị tính x 1 (hoặc %)</t>
        </r>
      </text>
    </comment>
    <comment ref="E6" authorId="0" shapeId="0" xr:uid="{00000000-0006-0000-0500-00000A000000}">
      <text>
        <r>
          <rPr>
            <sz val="10"/>
            <rFont val="Arial"/>
            <family val="2"/>
          </rPr>
          <t>Ô chỉ tiêu có định dạng số. Đơn vị tính x 1 (hoặc %)</t>
        </r>
      </text>
    </comment>
    <comment ref="D7" authorId="0" shapeId="0" xr:uid="{00000000-0006-0000-0500-00000B000000}">
      <text>
        <r>
          <rPr>
            <sz val="10"/>
            <rFont val="Arial"/>
            <family val="2"/>
          </rPr>
          <t>Ô chỉ tiêu có định dạng số. Đơn vị tính x 1 (hoặc %)</t>
        </r>
      </text>
    </comment>
    <comment ref="E7" authorId="0" shapeId="0" xr:uid="{00000000-0006-0000-0500-00000C000000}">
      <text>
        <r>
          <rPr>
            <sz val="10"/>
            <rFont val="Arial"/>
            <family val="2"/>
          </rPr>
          <t>Ô chỉ tiêu có định dạng số. Đơn vị tính x 1 (hoặc %)</t>
        </r>
      </text>
    </comment>
    <comment ref="D8" authorId="0" shapeId="0" xr:uid="{00000000-0006-0000-0500-00000D000000}">
      <text>
        <r>
          <rPr>
            <sz val="10"/>
            <rFont val="Arial"/>
            <family val="2"/>
          </rPr>
          <t>Ô chỉ tiêu có định dạng số. Đơn vị tính x 1 (hoặc %)</t>
        </r>
      </text>
    </comment>
    <comment ref="E8" authorId="0" shapeId="0" xr:uid="{00000000-0006-0000-0500-00000E000000}">
      <text>
        <r>
          <rPr>
            <sz val="10"/>
            <rFont val="Arial"/>
            <family val="2"/>
          </rPr>
          <t>Ô chỉ tiêu có định dạng số. Đơn vị tính x 1 (hoặc %)</t>
        </r>
      </text>
    </comment>
    <comment ref="D9" authorId="0" shapeId="0" xr:uid="{00000000-0006-0000-0500-00000F000000}">
      <text>
        <r>
          <rPr>
            <sz val="10"/>
            <rFont val="Arial"/>
            <family val="2"/>
          </rPr>
          <t>Ô chỉ tiêu có định dạng số. Đơn vị tính x 1 (hoặc %)</t>
        </r>
      </text>
    </comment>
    <comment ref="E9" authorId="0" shapeId="0" xr:uid="{00000000-0006-0000-0500-000010000000}">
      <text>
        <r>
          <rPr>
            <sz val="10"/>
            <rFont val="Arial"/>
            <family val="2"/>
          </rPr>
          <t>Ô chỉ tiêu có định dạng số. Đơn vị tính x 1 (hoặc %)</t>
        </r>
      </text>
    </comment>
    <comment ref="D10" authorId="0" shapeId="0" xr:uid="{00000000-0006-0000-0500-000011000000}">
      <text>
        <r>
          <rPr>
            <sz val="10"/>
            <rFont val="Arial"/>
            <family val="2"/>
          </rPr>
          <t>Ô chỉ tiêu có định dạng số. Đơn vị tính x 1 (hoặc %)</t>
        </r>
      </text>
    </comment>
    <comment ref="E10" authorId="0" shapeId="0" xr:uid="{00000000-0006-0000-0500-000012000000}">
      <text>
        <r>
          <rPr>
            <sz val="10"/>
            <rFont val="Arial"/>
            <family val="2"/>
          </rPr>
          <t>Ô chỉ tiêu có định dạng số. Đơn vị tính x 1 (hoặc %)</t>
        </r>
      </text>
    </comment>
    <comment ref="D11" authorId="0" shapeId="0" xr:uid="{00000000-0006-0000-0500-000013000000}">
      <text>
        <r>
          <rPr>
            <sz val="10"/>
            <rFont val="Arial"/>
            <family val="2"/>
          </rPr>
          <t>Ô chỉ tiêu có định dạng số. Đơn vị tính x 1 (hoặc %)</t>
        </r>
      </text>
    </comment>
    <comment ref="E11" authorId="0" shapeId="0" xr:uid="{00000000-0006-0000-0500-000014000000}">
      <text>
        <r>
          <rPr>
            <sz val="10"/>
            <rFont val="Arial"/>
            <family val="2"/>
          </rPr>
          <t>Ô chỉ tiêu có định dạng số. Đơn vị tính x 1 (hoặc %)</t>
        </r>
      </text>
    </comment>
    <comment ref="D12" authorId="0" shapeId="0" xr:uid="{00000000-0006-0000-0500-000015000000}">
      <text>
        <r>
          <rPr>
            <sz val="10"/>
            <rFont val="Arial"/>
            <family val="2"/>
          </rPr>
          <t>Ô chỉ tiêu có định dạng số. Đơn vị tính x 1 (hoặc %)</t>
        </r>
      </text>
    </comment>
    <comment ref="E12" authorId="0" shapeId="0" xr:uid="{00000000-0006-0000-0500-000016000000}">
      <text>
        <r>
          <rPr>
            <sz val="10"/>
            <rFont val="Arial"/>
            <family val="2"/>
          </rPr>
          <t>Ô chỉ tiêu có định dạng số. Đơn vị tính x 1 (hoặc %)</t>
        </r>
      </text>
    </comment>
    <comment ref="D13" authorId="0" shapeId="0" xr:uid="{00000000-0006-0000-0500-000017000000}">
      <text>
        <r>
          <rPr>
            <sz val="10"/>
            <rFont val="Arial"/>
            <family val="2"/>
          </rPr>
          <t>Ô chỉ tiêu có định dạng số. Đơn vị tính x 1 (hoặc %)</t>
        </r>
      </text>
    </comment>
    <comment ref="E13" authorId="0" shapeId="0" xr:uid="{00000000-0006-0000-0500-000018000000}">
      <text>
        <r>
          <rPr>
            <sz val="10"/>
            <rFont val="Arial"/>
            <family val="2"/>
          </rPr>
          <t>Ô chỉ tiêu có định dạng số. Đơn vị tính x 1 (hoặc %)</t>
        </r>
      </text>
    </comment>
    <comment ref="D14" authorId="0" shapeId="0" xr:uid="{00000000-0006-0000-0500-000019000000}">
      <text>
        <r>
          <rPr>
            <sz val="10"/>
            <rFont val="Arial"/>
            <family val="2"/>
          </rPr>
          <t>Ô chỉ tiêu có định dạng số. Đơn vị tính x 1 (hoặc %)</t>
        </r>
      </text>
    </comment>
    <comment ref="E14" authorId="0" shapeId="0" xr:uid="{00000000-0006-0000-0500-00001A000000}">
      <text>
        <r>
          <rPr>
            <sz val="10"/>
            <rFont val="Arial"/>
            <family val="2"/>
          </rPr>
          <t>Ô chỉ tiêu có định dạng số. Đơn vị tính x 1 (hoặc %)</t>
        </r>
      </text>
    </comment>
    <comment ref="D15" authorId="0" shapeId="0" xr:uid="{00000000-0006-0000-0500-00001B000000}">
      <text>
        <r>
          <rPr>
            <sz val="10"/>
            <rFont val="Arial"/>
            <family val="2"/>
          </rPr>
          <t>Ô chỉ tiêu có định dạng số. Đơn vị tính x 1 (hoặc %)</t>
        </r>
      </text>
    </comment>
    <comment ref="E15" authorId="0" shapeId="0" xr:uid="{00000000-0006-0000-0500-00001C000000}">
      <text>
        <r>
          <rPr>
            <sz val="10"/>
            <rFont val="Arial"/>
            <family val="2"/>
          </rPr>
          <t>Ô chỉ tiêu có định dạng số. Đơn vị tính x 1 (hoặc %)</t>
        </r>
      </text>
    </comment>
    <comment ref="D16" authorId="0" shapeId="0" xr:uid="{00000000-0006-0000-0500-00001D000000}">
      <text>
        <r>
          <rPr>
            <sz val="10"/>
            <rFont val="Arial"/>
            <family val="2"/>
          </rPr>
          <t>Ô chỉ tiêu có định dạng số. Đơn vị tính x 1 (hoặc %)</t>
        </r>
      </text>
    </comment>
    <comment ref="E16" authorId="0" shapeId="0" xr:uid="{00000000-0006-0000-0500-00001E000000}">
      <text>
        <r>
          <rPr>
            <sz val="10"/>
            <rFont val="Arial"/>
            <family val="2"/>
          </rPr>
          <t>Ô chỉ tiêu có định dạng số. Đơn vị tính x 1 (hoặc %)</t>
        </r>
      </text>
    </comment>
    <comment ref="D17" authorId="0" shapeId="0" xr:uid="{00000000-0006-0000-0500-00001F000000}">
      <text>
        <r>
          <rPr>
            <sz val="10"/>
            <rFont val="Arial"/>
            <family val="2"/>
          </rPr>
          <t>Ô chỉ tiêu có định dạng số. Đơn vị tính x 1 (hoặc %)</t>
        </r>
      </text>
    </comment>
    <comment ref="E17" authorId="0" shapeId="0" xr:uid="{00000000-0006-0000-0500-000020000000}">
      <text>
        <r>
          <rPr>
            <sz val="10"/>
            <rFont val="Arial"/>
            <family val="2"/>
          </rPr>
          <t>Ô chỉ tiêu có định dạng số. Đơn vị tính x 1 (hoặc %)</t>
        </r>
      </text>
    </comment>
    <comment ref="D18" authorId="0" shapeId="0" xr:uid="{00000000-0006-0000-0500-000021000000}">
      <text>
        <r>
          <rPr>
            <sz val="10"/>
            <rFont val="Arial"/>
            <family val="2"/>
          </rPr>
          <t>Ô chỉ tiêu có định dạng số. Đơn vị tính x 1 (hoặc %)</t>
        </r>
      </text>
    </comment>
    <comment ref="E18" authorId="0" shapeId="0" xr:uid="{00000000-0006-0000-0500-000022000000}">
      <text>
        <r>
          <rPr>
            <sz val="10"/>
            <rFont val="Arial"/>
            <family val="2"/>
          </rPr>
          <t>Ô chỉ tiêu có định dạng số. Đơn vị tính x 1 (hoặc %)</t>
        </r>
      </text>
    </comment>
    <comment ref="D19" authorId="0" shapeId="0" xr:uid="{00000000-0006-0000-0500-000023000000}">
      <text>
        <r>
          <rPr>
            <sz val="10"/>
            <rFont val="Arial"/>
            <family val="2"/>
          </rPr>
          <t>Ô chỉ tiêu có định dạng số. Đơn vị tính x 1 (hoặc %)</t>
        </r>
      </text>
    </comment>
    <comment ref="E19" authorId="0" shapeId="0" xr:uid="{00000000-0006-0000-0500-000024000000}">
      <text>
        <r>
          <rPr>
            <sz val="10"/>
            <rFont val="Arial"/>
            <family val="2"/>
          </rPr>
          <t>Ô chỉ tiêu có định dạng số. Đơn vị tính x 1 (hoặc %)</t>
        </r>
      </text>
    </comment>
    <comment ref="D20" authorId="0" shapeId="0" xr:uid="{00000000-0006-0000-0500-000025000000}">
      <text>
        <r>
          <rPr>
            <sz val="10"/>
            <rFont val="Arial"/>
            <family val="2"/>
          </rPr>
          <t>Ô chỉ tiêu có định dạng số. Đơn vị tính x 1 (hoặc %)</t>
        </r>
      </text>
    </comment>
    <comment ref="E20" authorId="0" shapeId="0" xr:uid="{00000000-0006-0000-0500-000026000000}">
      <text>
        <r>
          <rPr>
            <sz val="10"/>
            <rFont val="Arial"/>
            <family val="2"/>
          </rPr>
          <t>Ô chỉ tiêu có định dạng số. Đơn vị tính x 1 (hoặc %)</t>
        </r>
      </text>
    </comment>
    <comment ref="D21" authorId="0" shapeId="0" xr:uid="{00000000-0006-0000-0500-000027000000}">
      <text>
        <r>
          <rPr>
            <sz val="10"/>
            <rFont val="Arial"/>
            <family val="2"/>
          </rPr>
          <t>Ô chỉ tiêu có định dạng số. Đơn vị tính x 1 (hoặc %)</t>
        </r>
      </text>
    </comment>
    <comment ref="E21" authorId="0" shapeId="0" xr:uid="{00000000-0006-0000-0500-000028000000}">
      <text>
        <r>
          <rPr>
            <sz val="10"/>
            <rFont val="Arial"/>
            <family val="2"/>
          </rPr>
          <t>Ô chỉ tiêu có định dạng số. Đơn vị tính x 1 (hoặc %)</t>
        </r>
      </text>
    </comment>
    <comment ref="D22" authorId="0" shapeId="0" xr:uid="{00000000-0006-0000-0500-000029000000}">
      <text>
        <r>
          <rPr>
            <sz val="10"/>
            <rFont val="Arial"/>
            <family val="2"/>
          </rPr>
          <t>Ô chỉ tiêu có định dạng số. Đơn vị tính x 1 (hoặc %)</t>
        </r>
      </text>
    </comment>
    <comment ref="E22" authorId="0" shapeId="0" xr:uid="{00000000-0006-0000-0500-00002A000000}">
      <text>
        <r>
          <rPr>
            <sz val="10"/>
            <rFont val="Arial"/>
            <family val="2"/>
          </rPr>
          <t>Ô chỉ tiêu có định dạng số. Đơn vị tính x 1 (hoặc %)</t>
        </r>
      </text>
    </comment>
    <comment ref="D23" authorId="0" shapeId="0" xr:uid="{00000000-0006-0000-0500-00002B000000}">
      <text>
        <r>
          <rPr>
            <sz val="10"/>
            <rFont val="Arial"/>
            <family val="2"/>
          </rPr>
          <t>Ô chỉ tiêu có định dạng số. Đơn vị tính x 1 (hoặc %)</t>
        </r>
      </text>
    </comment>
    <comment ref="E23" authorId="0" shapeId="0" xr:uid="{00000000-0006-0000-0500-00002C000000}">
      <text>
        <r>
          <rPr>
            <sz val="10"/>
            <rFont val="Arial"/>
            <family val="2"/>
          </rPr>
          <t>Ô chỉ tiêu có định dạng số. Đơn vị tính x 1 (hoặc %)</t>
        </r>
      </text>
    </comment>
    <comment ref="D24" authorId="0" shapeId="0" xr:uid="{00000000-0006-0000-0500-00002D000000}">
      <text>
        <r>
          <rPr>
            <sz val="10"/>
            <rFont val="Arial"/>
            <family val="2"/>
          </rPr>
          <t>Ô chỉ tiêu có định dạng số. Đơn vị tính x 1 (hoặc %)</t>
        </r>
      </text>
    </comment>
    <comment ref="E24" authorId="0" shapeId="0" xr:uid="{00000000-0006-0000-0500-00002E000000}">
      <text>
        <r>
          <rPr>
            <sz val="10"/>
            <rFont val="Arial"/>
            <family val="2"/>
          </rPr>
          <t>Ô chỉ tiêu có định dạng số. Đơn vị tính x 1 (hoặc %)</t>
        </r>
      </text>
    </comment>
    <comment ref="D25" authorId="0" shapeId="0" xr:uid="{00000000-0006-0000-0500-00002F000000}">
      <text>
        <r>
          <rPr>
            <sz val="10"/>
            <rFont val="Arial"/>
            <family val="2"/>
          </rPr>
          <t>Ô chỉ tiêu có định dạng số. Đơn vị tính x 1 (hoặc %)</t>
        </r>
      </text>
    </comment>
    <comment ref="E25" authorId="0" shapeId="0" xr:uid="{00000000-0006-0000-0500-000030000000}">
      <text>
        <r>
          <rPr>
            <sz val="10"/>
            <rFont val="Arial"/>
            <family val="2"/>
          </rPr>
          <t>Ô chỉ tiêu có định dạng số. Đơn vị tính x 1 (hoặc %)</t>
        </r>
      </text>
    </comment>
    <comment ref="D26" authorId="0" shapeId="0" xr:uid="{00000000-0006-0000-0500-000031000000}">
      <text>
        <r>
          <rPr>
            <sz val="10"/>
            <rFont val="Arial"/>
            <family val="2"/>
          </rPr>
          <t>Ô chỉ tiêu có định dạng số. Đơn vị tính x 1 (hoặc %)</t>
        </r>
      </text>
    </comment>
    <comment ref="E26" authorId="0" shapeId="0" xr:uid="{00000000-0006-0000-0500-000032000000}">
      <text>
        <r>
          <rPr>
            <sz val="10"/>
            <rFont val="Arial"/>
            <family val="2"/>
          </rPr>
          <t>Ô chỉ tiêu có định dạng số. Đơn vị tính x 1 (hoặc %)</t>
        </r>
      </text>
    </comment>
    <comment ref="D27" authorId="0" shapeId="0" xr:uid="{00000000-0006-0000-0500-000033000000}">
      <text>
        <r>
          <rPr>
            <sz val="10"/>
            <rFont val="Arial"/>
            <family val="2"/>
          </rPr>
          <t>Ô chỉ tiêu có định dạng số. Đơn vị tính x 1 (hoặc %)</t>
        </r>
      </text>
    </comment>
    <comment ref="E27" authorId="0" shapeId="0" xr:uid="{00000000-0006-0000-0500-000034000000}">
      <text>
        <r>
          <rPr>
            <sz val="10"/>
            <rFont val="Arial"/>
            <family val="2"/>
          </rPr>
          <t>Ô chỉ tiêu có định dạng số. Đơn vị tính x 1 (hoặc %)</t>
        </r>
      </text>
    </comment>
    <comment ref="D28" authorId="0" shapeId="0" xr:uid="{00000000-0006-0000-0500-000035000000}">
      <text>
        <r>
          <rPr>
            <sz val="10"/>
            <rFont val="Arial"/>
            <family val="2"/>
          </rPr>
          <t>Ô chỉ tiêu có định dạng số. Đơn vị tính x 1 (hoặc %)</t>
        </r>
      </text>
    </comment>
    <comment ref="E28" authorId="0" shapeId="0" xr:uid="{00000000-0006-0000-0500-000036000000}">
      <text>
        <r>
          <rPr>
            <sz val="10"/>
            <rFont val="Arial"/>
            <family val="2"/>
          </rPr>
          <t>Ô chỉ tiêu có định dạng số. Đơn vị tính x 1 (hoặc %)</t>
        </r>
      </text>
    </comment>
    <comment ref="D29" authorId="0" shapeId="0" xr:uid="{00000000-0006-0000-0500-000037000000}">
      <text>
        <r>
          <rPr>
            <sz val="10"/>
            <rFont val="Arial"/>
            <family val="2"/>
          </rPr>
          <t>Ô chỉ tiêu có định dạng số. Đơn vị tính x 1 (hoặc %)</t>
        </r>
      </text>
    </comment>
    <comment ref="E29" authorId="0" shapeId="0" xr:uid="{00000000-0006-0000-0500-000038000000}">
      <text>
        <r>
          <rPr>
            <sz val="10"/>
            <rFont val="Arial"/>
            <family val="2"/>
          </rPr>
          <t>Ô chỉ tiêu có định dạng số. Đơn vị tính x 1 (hoặc %)</t>
        </r>
      </text>
    </comment>
    <comment ref="E30" authorId="0" shapeId="0" xr:uid="{00000000-0006-0000-0500-000039000000}">
      <text>
        <r>
          <rPr>
            <sz val="10"/>
            <rFont val="Arial"/>
            <family val="2"/>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600-000001000000}">
      <text>
        <r>
          <rPr>
            <sz val="10"/>
            <rFont val="Arial"/>
            <family val="2"/>
          </rPr>
          <t>Ô chỉ tiêu có định dạng ký tự
Dữ liệu động đầu vào hợp lệ khi chỉ được thêm dòng trên ô này.</t>
        </r>
      </text>
    </comment>
    <comment ref="B5" authorId="0" shapeId="0" xr:uid="{00000000-0006-0000-0600-000002000000}">
      <text>
        <r>
          <rPr>
            <sz val="10"/>
            <rFont val="Arial"/>
            <family val="2"/>
          </rPr>
          <t>Ô chỉ tiêu có định dạng ký tự
Dữ liệu động đầu vào hợp lệ khi chỉ được thêm dòng trên ô này.</t>
        </r>
      </text>
    </comment>
    <comment ref="C5" authorId="0" shapeId="0" xr:uid="{00000000-0006-0000-0600-000003000000}">
      <text>
        <r>
          <rPr>
            <sz val="10"/>
            <rFont val="Arial"/>
            <family val="2"/>
          </rPr>
          <t>Ô chỉ tiêu có định dạng ký tự
Dữ liệu động đầu vào hợp lệ khi chỉ được thêm dòng trên ô này.</t>
        </r>
      </text>
    </comment>
    <comment ref="D5" authorId="0" shapeId="0" xr:uid="{00000000-0006-0000-0600-000004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600-000005000000}">
      <text>
        <r>
          <rPr>
            <sz val="10"/>
            <rFont val="Arial"/>
            <family val="2"/>
          </rPr>
          <t>Ô chỉ tiêu có định dạng số. Đơn vị tính x 1 (hoặc %)
Dữ liệu động đầu vào hợp lệ khi chỉ được thêm dòng trên ô này.</t>
        </r>
      </text>
    </comment>
    <comment ref="F5" authorId="0" shapeId="0" xr:uid="{00000000-0006-0000-0600-000006000000}">
      <text>
        <r>
          <rPr>
            <sz val="10"/>
            <rFont val="Arial"/>
            <family val="2"/>
          </rPr>
          <t>Ô chỉ tiêu có định dạng số. Đơn vị tính x 1 (hoặc %)
Dữ liệu động đầu vào hợp lệ khi chỉ được thêm dòng trên ô này.</t>
        </r>
      </text>
    </comment>
    <comment ref="G5" authorId="0" shapeId="0" xr:uid="{00000000-0006-0000-0600-000007000000}">
      <text>
        <r>
          <rPr>
            <sz val="10"/>
            <rFont val="Arial"/>
            <family val="2"/>
          </rPr>
          <t>Ô chỉ tiêu có định dạng số. Đơn vị tính x 1 (hoặc %)
Dữ liệu động đầu vào hợp lệ khi chỉ được thêm dòng trên ô này.</t>
        </r>
      </text>
    </comment>
    <comment ref="H5" authorId="0" shapeId="0" xr:uid="{00000000-0006-0000-0600-000008000000}">
      <text>
        <r>
          <rPr>
            <sz val="10"/>
            <rFont val="Arial"/>
            <family val="2"/>
          </rPr>
          <t>Ô chỉ tiêu có định dạng số. Đơn vị tính x 1 (hoặc %)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family val="2"/>
          </rPr>
          <t>Ô chỉ tiêu có định dạng ký tự</t>
        </r>
      </text>
    </comment>
    <comment ref="D3" authorId="0" shapeId="0" xr:uid="{00000000-0006-0000-0700-000002000000}">
      <text>
        <r>
          <rPr>
            <sz val="10"/>
            <rFont val="Arial"/>
            <family val="2"/>
          </rPr>
          <t>Ô chỉ tiêu có định dạng số. Đơn vị tính x 1 (hoặc %)</t>
        </r>
      </text>
    </comment>
    <comment ref="E3" authorId="0" shapeId="0" xr:uid="{00000000-0006-0000-0700-000003000000}">
      <text>
        <r>
          <rPr>
            <sz val="10"/>
            <rFont val="Arial"/>
            <family val="2"/>
          </rPr>
          <t>Ô chỉ tiêu có định dạng ký tự</t>
        </r>
      </text>
    </comment>
    <comment ref="F3" authorId="0" shapeId="0" xr:uid="{00000000-0006-0000-0700-000004000000}">
      <text>
        <r>
          <rPr>
            <sz val="10"/>
            <rFont val="Arial"/>
            <family val="2"/>
          </rPr>
          <t>Ô chỉ tiêu có định dạng ký tự</t>
        </r>
      </text>
    </comment>
    <comment ref="A5" authorId="0" shapeId="0" xr:uid="{00000000-0006-0000-0700-000005000000}">
      <text>
        <r>
          <rPr>
            <sz val="10"/>
            <rFont val="Arial"/>
            <family val="2"/>
          </rPr>
          <t>Ô chỉ tiêu có định dạng ký tự
Dữ liệu động đầu vào hợp lệ khi chỉ được thêm dòng trên ô này.</t>
        </r>
      </text>
    </comment>
    <comment ref="B5" authorId="0" shapeId="0" xr:uid="{00000000-0006-0000-0700-000006000000}">
      <text>
        <r>
          <rPr>
            <sz val="10"/>
            <rFont val="Arial"/>
            <family val="2"/>
          </rPr>
          <t>Ô chỉ tiêu có định dạng ký tự
Dữ liệu động đầu vào hợp lệ khi chỉ được thêm dòng trên ô này.</t>
        </r>
      </text>
    </comment>
    <comment ref="C5" authorId="0" shapeId="0" xr:uid="{00000000-0006-0000-0700-000007000000}">
      <text>
        <r>
          <rPr>
            <sz val="10"/>
            <rFont val="Arial"/>
            <family val="2"/>
          </rPr>
          <t>Ô chỉ tiêu có định dạng ký tự
Dữ liệu động đầu vào hợp lệ khi chỉ được thêm dòng trên ô này.</t>
        </r>
      </text>
    </comment>
    <comment ref="D5" authorId="0" shapeId="0" xr:uid="{00000000-0006-0000-0700-000008000000}">
      <text>
        <r>
          <rPr>
            <sz val="10"/>
            <rFont val="Arial"/>
            <family val="2"/>
          </rPr>
          <t>Ô chỉ tiêu có định dạng số. Đơn vị tính x 1 (hoặc %)
Dữ liệu động đầu vào hợp lệ khi chỉ được thêm dòng trên ô này.</t>
        </r>
      </text>
    </comment>
    <comment ref="E5" authorId="0" shapeId="0" xr:uid="{00000000-0006-0000-0700-000009000000}">
      <text>
        <r>
          <rPr>
            <sz val="10"/>
            <rFont val="Arial"/>
            <family val="2"/>
          </rPr>
          <t>Ô chỉ tiêu có định dạng ký tự
Dữ liệu động đầu vào hợp lệ khi chỉ được thêm dòng trên ô này.</t>
        </r>
      </text>
    </comment>
    <comment ref="F5" authorId="0" shapeId="0" xr:uid="{00000000-0006-0000-0700-00000A000000}">
      <text>
        <r>
          <rPr>
            <sz val="10"/>
            <rFont val="Arial"/>
            <family val="2"/>
          </rPr>
          <t>Ô chỉ tiêu có định dạng ký tự
Dữ liệu động đầu vào hợp lệ khi chỉ được thêm dòng trên ô này.</t>
        </r>
      </text>
    </comment>
    <comment ref="C6" authorId="0" shapeId="0" xr:uid="{00000000-0006-0000-0700-00000B000000}">
      <text>
        <r>
          <rPr>
            <sz val="10"/>
            <rFont val="Arial"/>
            <family val="2"/>
          </rPr>
          <t>Ô chỉ tiêu có định dạng ký tự</t>
        </r>
      </text>
    </comment>
    <comment ref="D6" authorId="0" shapeId="0" xr:uid="{00000000-0006-0000-0700-00000C000000}">
      <text>
        <r>
          <rPr>
            <sz val="10"/>
            <rFont val="Arial"/>
            <family val="2"/>
          </rPr>
          <t>Ô chỉ tiêu có định dạng số. Đơn vị tính x 1 (hoặc %)</t>
        </r>
      </text>
    </comment>
    <comment ref="E6" authorId="0" shapeId="0" xr:uid="{00000000-0006-0000-0700-00000D000000}">
      <text>
        <r>
          <rPr>
            <sz val="10"/>
            <rFont val="Arial"/>
            <family val="2"/>
          </rPr>
          <t>Ô chỉ tiêu có định dạng ký tự</t>
        </r>
      </text>
    </comment>
    <comment ref="F6" authorId="0" shapeId="0" xr:uid="{00000000-0006-0000-0700-00000E000000}">
      <text>
        <r>
          <rPr>
            <sz val="10"/>
            <rFont val="Arial"/>
            <family val="2"/>
          </rPr>
          <t>Ô chỉ tiêu có định dạng ký tự</t>
        </r>
      </text>
    </comment>
    <comment ref="A8" authorId="0" shapeId="0" xr:uid="{00000000-0006-0000-0700-00000F000000}">
      <text>
        <r>
          <rPr>
            <sz val="10"/>
            <rFont val="Arial"/>
            <family val="2"/>
          </rPr>
          <t>Ô chỉ tiêu có định dạng ký tự
Dữ liệu động đầu vào hợp lệ khi chỉ được thêm dòng trên ô này.</t>
        </r>
      </text>
    </comment>
    <comment ref="B8" authorId="0" shapeId="0" xr:uid="{00000000-0006-0000-0700-000010000000}">
      <text>
        <r>
          <rPr>
            <sz val="10"/>
            <rFont val="Arial"/>
            <family val="2"/>
          </rPr>
          <t>Ô chỉ tiêu có định dạng ký tự
Dữ liệu động đầu vào hợp lệ khi chỉ được thêm dòng trên ô này.</t>
        </r>
      </text>
    </comment>
    <comment ref="C8" authorId="0" shapeId="0" xr:uid="{00000000-0006-0000-0700-000011000000}">
      <text>
        <r>
          <rPr>
            <sz val="10"/>
            <rFont val="Arial"/>
            <family val="2"/>
          </rPr>
          <t>Ô chỉ tiêu có định dạng ký tự
Dữ liệu động đầu vào hợp lệ khi chỉ được thêm dòng trên ô này.</t>
        </r>
      </text>
    </comment>
    <comment ref="D8" authorId="0" shapeId="0" xr:uid="{00000000-0006-0000-0700-000012000000}">
      <text>
        <r>
          <rPr>
            <sz val="10"/>
            <rFont val="Arial"/>
            <family val="2"/>
          </rPr>
          <t>Ô chỉ tiêu có định dạng số. Đơn vị tính x 1 (hoặc %)
Dữ liệu động đầu vào hợp lệ khi chỉ được thêm dòng trên ô này.</t>
        </r>
      </text>
    </comment>
    <comment ref="E8" authorId="0" shapeId="0" xr:uid="{00000000-0006-0000-0700-000013000000}">
      <text>
        <r>
          <rPr>
            <sz val="10"/>
            <rFont val="Arial"/>
            <family val="2"/>
          </rPr>
          <t>Ô chỉ tiêu có định dạng số. Đơn vị tính x 1 (hoặc %)
Dữ liệu động đầu vào hợp lệ khi chỉ được thêm dòng trên ô này.</t>
        </r>
      </text>
    </comment>
    <comment ref="F8" authorId="0" shapeId="0" xr:uid="{00000000-0006-0000-0700-000014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700-000015000000}">
      <text>
        <r>
          <rPr>
            <sz val="10"/>
            <rFont val="Arial"/>
            <family val="2"/>
          </rPr>
          <t>Ô chỉ tiêu có định dạng ký tự</t>
        </r>
      </text>
    </comment>
    <comment ref="D9" authorId="0" shapeId="0" xr:uid="{00000000-0006-0000-0700-000016000000}">
      <text>
        <r>
          <rPr>
            <sz val="10"/>
            <rFont val="Arial"/>
            <family val="2"/>
          </rPr>
          <t>Ô chỉ tiêu có định dạng số. Đơn vị tính x 1 (hoặc %)</t>
        </r>
      </text>
    </comment>
    <comment ref="E9" authorId="0" shapeId="0" xr:uid="{00000000-0006-0000-0700-000017000000}">
      <text>
        <r>
          <rPr>
            <sz val="10"/>
            <rFont val="Arial"/>
            <family val="2"/>
          </rPr>
          <t>Ô chỉ tiêu có định dạng số. Đơn vị tính x 1 (hoặc %)</t>
        </r>
      </text>
    </comment>
    <comment ref="F9" authorId="0" shapeId="0" xr:uid="{00000000-0006-0000-0700-000018000000}">
      <text>
        <r>
          <rPr>
            <sz val="10"/>
            <rFont val="Arial"/>
            <family val="2"/>
          </rPr>
          <t>Ô chỉ tiêu có định dạng số. Đơn vị tính x 1 (hoặc %)</t>
        </r>
      </text>
    </comment>
    <comment ref="A11" authorId="0" shapeId="0" xr:uid="{00000000-0006-0000-0700-000019000000}">
      <text>
        <r>
          <rPr>
            <sz val="10"/>
            <rFont val="Arial"/>
            <family val="2"/>
          </rPr>
          <t>Ô chỉ tiêu có định dạng ký tự
Dữ liệu động đầu vào hợp lệ khi chỉ được thêm dòng trên ô này.</t>
        </r>
      </text>
    </comment>
    <comment ref="B11" authorId="0" shapeId="0" xr:uid="{00000000-0006-0000-0700-00001A000000}">
      <text>
        <r>
          <rPr>
            <sz val="10"/>
            <rFont val="Arial"/>
            <family val="2"/>
          </rPr>
          <t>Ô chỉ tiêu có định dạng ký tự
Dữ liệu động đầu vào hợp lệ khi chỉ được thêm dòng trên ô này.</t>
        </r>
      </text>
    </comment>
    <comment ref="C11" authorId="0" shapeId="0" xr:uid="{00000000-0006-0000-0700-00001B000000}">
      <text>
        <r>
          <rPr>
            <sz val="10"/>
            <rFont val="Arial"/>
            <family val="2"/>
          </rPr>
          <t>Ô chỉ tiêu có định dạng ký tự
Dữ liệu động đầu vào hợp lệ khi chỉ được thêm dòng trên ô này.</t>
        </r>
      </text>
    </comment>
    <comment ref="D11" authorId="0" shapeId="0" xr:uid="{00000000-0006-0000-0700-00001C000000}">
      <text>
        <r>
          <rPr>
            <sz val="10"/>
            <rFont val="Arial"/>
            <family val="2"/>
          </rPr>
          <t>Ô chỉ tiêu có định dạng ký tự
Dữ liệu động đầu vào hợp lệ khi chỉ được thêm dòng trên ô này.</t>
        </r>
      </text>
    </comment>
    <comment ref="E11" authorId="0" shapeId="0" xr:uid="{00000000-0006-0000-0700-00001D000000}">
      <text>
        <r>
          <rPr>
            <sz val="10"/>
            <rFont val="Arial"/>
            <family val="2"/>
          </rPr>
          <t>Ô chỉ tiêu có định dạng ký tự
Dữ liệu động đầu vào hợp lệ khi chỉ được thêm dòng trên ô này.</t>
        </r>
      </text>
    </comment>
    <comment ref="F11" authorId="0" shapeId="0" xr:uid="{00000000-0006-0000-0700-00001E000000}">
      <text>
        <r>
          <rPr>
            <sz val="10"/>
            <rFont val="Arial"/>
            <family val="2"/>
          </rPr>
          <t>Ô chỉ tiêu có định dạng ký tự
Dữ liệu động đầu vào hợp lệ khi chỉ được thêm dòng trên ô này.</t>
        </r>
      </text>
    </comment>
    <comment ref="C12" authorId="0" shapeId="0" xr:uid="{00000000-0006-0000-0700-00001F000000}">
      <text>
        <r>
          <rPr>
            <sz val="10"/>
            <rFont val="Arial"/>
            <family val="2"/>
          </rPr>
          <t>Ô chỉ tiêu có định dạng ký tự</t>
        </r>
      </text>
    </comment>
    <comment ref="D12" authorId="0" shapeId="0" xr:uid="{00000000-0006-0000-0700-000020000000}">
      <text>
        <r>
          <rPr>
            <sz val="10"/>
            <rFont val="Arial"/>
            <family val="2"/>
          </rPr>
          <t>Ô chỉ tiêu có định dạng ký tự</t>
        </r>
      </text>
    </comment>
    <comment ref="E12" authorId="0" shapeId="0" xr:uid="{00000000-0006-0000-0700-000021000000}">
      <text>
        <r>
          <rPr>
            <sz val="10"/>
            <rFont val="Arial"/>
            <family val="2"/>
          </rPr>
          <t>Ô chỉ tiêu có định dạng ký tự</t>
        </r>
      </text>
    </comment>
    <comment ref="F12" authorId="0" shapeId="0" xr:uid="{00000000-0006-0000-0700-000022000000}">
      <text>
        <r>
          <rPr>
            <sz val="10"/>
            <rFont val="Arial"/>
            <family val="2"/>
          </rPr>
          <t>Ô chỉ tiêu có định dạng ký tự</t>
        </r>
      </text>
    </comment>
    <comment ref="C13" authorId="0" shapeId="0" xr:uid="{00000000-0006-0000-0700-000023000000}">
      <text>
        <r>
          <rPr>
            <sz val="10"/>
            <rFont val="Arial"/>
            <family val="2"/>
          </rPr>
          <t>Ô chỉ tiêu có định dạng ký tự</t>
        </r>
      </text>
    </comment>
    <comment ref="D13" authorId="0" shapeId="0" xr:uid="{00000000-0006-0000-0700-000024000000}">
      <text>
        <r>
          <rPr>
            <sz val="10"/>
            <rFont val="Arial"/>
            <family val="2"/>
          </rPr>
          <t>Ô chỉ tiêu có định dạng ký tự</t>
        </r>
      </text>
    </comment>
    <comment ref="E13" authorId="0" shapeId="0" xr:uid="{00000000-0006-0000-0700-000025000000}">
      <text>
        <r>
          <rPr>
            <sz val="10"/>
            <rFont val="Arial"/>
            <family val="2"/>
          </rPr>
          <t>Ô chỉ tiêu có định dạng ký tự</t>
        </r>
      </text>
    </comment>
    <comment ref="F13" authorId="0" shapeId="0" xr:uid="{00000000-0006-0000-0700-000026000000}">
      <text>
        <r>
          <rPr>
            <sz val="10"/>
            <rFont val="Arial"/>
            <family val="2"/>
          </rPr>
          <t>Ô chỉ tiêu có định dạng ký tự</t>
        </r>
      </text>
    </comment>
    <comment ref="C14" authorId="0" shapeId="0" xr:uid="{00000000-0006-0000-0700-000027000000}">
      <text>
        <r>
          <rPr>
            <sz val="10"/>
            <rFont val="Arial"/>
            <family val="2"/>
          </rPr>
          <t>Ô chỉ tiêu có định dạng ký tự</t>
        </r>
      </text>
    </comment>
    <comment ref="D14" authorId="0" shapeId="0" xr:uid="{00000000-0006-0000-0700-000028000000}">
      <text>
        <r>
          <rPr>
            <sz val="10"/>
            <rFont val="Arial"/>
            <family val="2"/>
          </rPr>
          <t>Ô chỉ tiêu có định dạng ký tự</t>
        </r>
      </text>
    </comment>
    <comment ref="E14" authorId="0" shapeId="0" xr:uid="{00000000-0006-0000-0700-000029000000}">
      <text>
        <r>
          <rPr>
            <sz val="10"/>
            <rFont val="Arial"/>
            <family val="2"/>
          </rPr>
          <t>Ô chỉ tiêu có định dạng ký tự</t>
        </r>
      </text>
    </comment>
    <comment ref="F14" authorId="0" shapeId="0" xr:uid="{00000000-0006-0000-0700-00002A000000}">
      <text>
        <r>
          <rPr>
            <sz val="10"/>
            <rFont val="Arial"/>
            <family val="2"/>
          </rPr>
          <t>Ô chỉ tiêu có định dạng ký tự</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800-000001000000}">
      <text>
        <r>
          <rPr>
            <sz val="10"/>
            <rFont val="Arial"/>
            <family val="2"/>
          </rPr>
          <t>Ô chỉ tiêu có định dạng số. Đơn vị tính x 1 (hoặc %)</t>
        </r>
      </text>
    </comment>
    <comment ref="D3" authorId="0" shapeId="0" xr:uid="{00000000-0006-0000-0800-000002000000}">
      <text>
        <r>
          <rPr>
            <sz val="10"/>
            <rFont val="Arial"/>
            <family val="2"/>
          </rPr>
          <t>Ô chỉ tiêu có định dạng số. Đơn vị tính x 1 (hoặc %)</t>
        </r>
      </text>
    </comment>
    <comment ref="A5" authorId="0" shapeId="0" xr:uid="{00000000-0006-0000-0800-000003000000}">
      <text>
        <r>
          <rPr>
            <sz val="10"/>
            <rFont val="Arial"/>
            <family val="2"/>
          </rPr>
          <t>Ô chỉ tiêu có định dạng ký tự
Dữ liệu động đầu vào hợp lệ khi chỉ được thêm dòng trên ô này.</t>
        </r>
      </text>
    </comment>
    <comment ref="B5" authorId="0" shapeId="0" xr:uid="{00000000-0006-0000-0800-000004000000}">
      <text>
        <r>
          <rPr>
            <sz val="10"/>
            <rFont val="Arial"/>
            <family val="2"/>
          </rPr>
          <t>Ô chỉ tiêu có định dạng ký tự
Dữ liệu động đầu vào hợp lệ khi chỉ được thêm dòng trên ô này.</t>
        </r>
      </text>
    </comment>
    <comment ref="C5" authorId="0" shapeId="0" xr:uid="{00000000-0006-0000-0800-000005000000}">
      <text>
        <r>
          <rPr>
            <sz val="10"/>
            <rFont val="Arial"/>
            <family val="2"/>
          </rPr>
          <t>Ô chỉ tiêu có định dạng số. Đơn vị tính x 1 (hoặc %)
Dữ liệu động đầu vào hợp lệ khi chỉ được thêm dòng trên ô này.</t>
        </r>
      </text>
    </comment>
    <comment ref="D5" authorId="0" shapeId="0" xr:uid="{00000000-0006-0000-0800-000006000000}">
      <text>
        <r>
          <rPr>
            <sz val="10"/>
            <rFont val="Arial"/>
            <family val="2"/>
          </rPr>
          <t>Ô chỉ tiêu có định dạng số. Đơn vị tính x 1 (hoặc %)
Dữ liệu động đầu vào hợp lệ khi chỉ được thêm dòng trên ô này.</t>
        </r>
      </text>
    </comment>
    <comment ref="C6" authorId="0" shapeId="0" xr:uid="{00000000-0006-0000-0800-000007000000}">
      <text>
        <r>
          <rPr>
            <sz val="10"/>
            <rFont val="Arial"/>
            <family val="2"/>
          </rPr>
          <t>Ô chỉ tiêu có định dạng số. Đơn vị tính x 1 (hoặc %)</t>
        </r>
      </text>
    </comment>
    <comment ref="D6" authorId="0" shapeId="0" xr:uid="{00000000-0006-0000-0800-000008000000}">
      <text>
        <r>
          <rPr>
            <sz val="10"/>
            <rFont val="Arial"/>
            <family val="2"/>
          </rPr>
          <t>Ô chỉ tiêu có định dạng số. Đơn vị tính x 1 (hoặc %)</t>
        </r>
      </text>
    </comment>
    <comment ref="A8" authorId="0" shapeId="0" xr:uid="{00000000-0006-0000-0800-000009000000}">
      <text>
        <r>
          <rPr>
            <sz val="10"/>
            <rFont val="Arial"/>
            <family val="2"/>
          </rPr>
          <t>Ô chỉ tiêu có định dạng ký tự
Dữ liệu động đầu vào hợp lệ khi chỉ được thêm dòng trên ô này.</t>
        </r>
      </text>
    </comment>
    <comment ref="B8" authorId="0" shapeId="0" xr:uid="{00000000-0006-0000-0800-00000A000000}">
      <text>
        <r>
          <rPr>
            <sz val="10"/>
            <rFont val="Arial"/>
            <family val="2"/>
          </rPr>
          <t>Ô chỉ tiêu có định dạng ký tự
Dữ liệu động đầu vào hợp lệ khi chỉ được thêm dòng trên ô này.</t>
        </r>
      </text>
    </comment>
    <comment ref="C8" authorId="0" shapeId="0" xr:uid="{00000000-0006-0000-0800-00000B000000}">
      <text>
        <r>
          <rPr>
            <sz val="10"/>
            <rFont val="Arial"/>
            <family val="2"/>
          </rPr>
          <t>Ô chỉ tiêu có định dạng số. Đơn vị tính x 1 (hoặc %)
Dữ liệu động đầu vào hợp lệ khi chỉ được thêm dòng trên ô này.</t>
        </r>
      </text>
    </comment>
    <comment ref="D8" authorId="0" shapeId="0" xr:uid="{00000000-0006-0000-0800-00000C000000}">
      <text>
        <r>
          <rPr>
            <sz val="10"/>
            <rFont val="Arial"/>
            <family val="2"/>
          </rPr>
          <t>Ô chỉ tiêu có định dạng số. Đơn vị tính x 1 (hoặc %)
Dữ liệu động đầu vào hợp lệ khi chỉ được thêm dòng trên ô này.</t>
        </r>
      </text>
    </comment>
    <comment ref="C9" authorId="0" shapeId="0" xr:uid="{00000000-0006-0000-0800-00000D000000}">
      <text>
        <r>
          <rPr>
            <sz val="10"/>
            <rFont val="Arial"/>
            <family val="2"/>
          </rPr>
          <t>Ô chỉ tiêu có định dạng số. Đơn vị tính x 1 (hoặc %)</t>
        </r>
      </text>
    </comment>
    <comment ref="D9" authorId="0" shapeId="0" xr:uid="{00000000-0006-0000-0800-00000E000000}">
      <text>
        <r>
          <rPr>
            <sz val="10"/>
            <rFont val="Arial"/>
            <family val="2"/>
          </rPr>
          <t>Ô chỉ tiêu có định dạng số. Đơn vị tính x 1 (hoặc %)</t>
        </r>
      </text>
    </comment>
    <comment ref="A11" authorId="0" shapeId="0" xr:uid="{00000000-0006-0000-0800-00000F000000}">
      <text>
        <r>
          <rPr>
            <sz val="10"/>
            <rFont val="Arial"/>
            <family val="2"/>
          </rPr>
          <t>Ô chỉ tiêu có định dạng ký tự
Dữ liệu động đầu vào hợp lệ khi chỉ được thêm dòng trên ô này.</t>
        </r>
      </text>
    </comment>
    <comment ref="B11" authorId="0" shapeId="0" xr:uid="{00000000-0006-0000-0800-000010000000}">
      <text>
        <r>
          <rPr>
            <sz val="10"/>
            <rFont val="Arial"/>
            <family val="2"/>
          </rPr>
          <t>Ô chỉ tiêu có định dạng ký tự
Dữ liệu động đầu vào hợp lệ khi chỉ được thêm dòng trên ô này.</t>
        </r>
      </text>
    </comment>
    <comment ref="C11" authorId="0" shapeId="0" xr:uid="{00000000-0006-0000-0800-000011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800-000012000000}">
      <text>
        <r>
          <rPr>
            <sz val="10"/>
            <rFont val="Arial"/>
            <family val="2"/>
          </rPr>
          <t>Ô chỉ tiêu có định dạng số. Đơn vị tính x 1 (hoặc %)
Dữ liệu động đầu vào hợp lệ khi chỉ được thêm dòng trên ô này.</t>
        </r>
      </text>
    </comment>
    <comment ref="C12" authorId="0" shapeId="0" xr:uid="{00000000-0006-0000-0800-000013000000}">
      <text>
        <r>
          <rPr>
            <sz val="10"/>
            <rFont val="Arial"/>
            <family val="2"/>
          </rPr>
          <t>Ô chỉ tiêu có định dạng số. Đơn vị tính x 1 (hoặc %)</t>
        </r>
      </text>
    </comment>
    <comment ref="D12" authorId="0" shapeId="0" xr:uid="{00000000-0006-0000-0800-000014000000}">
      <text>
        <r>
          <rPr>
            <sz val="10"/>
            <rFont val="Arial"/>
            <family val="2"/>
          </rPr>
          <t>Ô chỉ tiêu có định dạng số. Đơn vị tính x 1 (hoặc %)</t>
        </r>
      </text>
    </comment>
    <comment ref="A14" authorId="0" shapeId="0" xr:uid="{00000000-0006-0000-0800-000015000000}">
      <text>
        <r>
          <rPr>
            <sz val="10"/>
            <rFont val="Arial"/>
            <family val="2"/>
          </rPr>
          <t>Ô chỉ tiêu có định dạng ký tự
Dữ liệu động đầu vào hợp lệ khi chỉ được thêm dòng trên ô này.</t>
        </r>
      </text>
    </comment>
    <comment ref="B14" authorId="0" shapeId="0" xr:uid="{00000000-0006-0000-0800-000016000000}">
      <text>
        <r>
          <rPr>
            <sz val="10"/>
            <rFont val="Arial"/>
            <family val="2"/>
          </rPr>
          <t>Ô chỉ tiêu có định dạng ký tự
Dữ liệu động đầu vào hợp lệ khi chỉ được thêm dòng trên ô này.</t>
        </r>
      </text>
    </comment>
    <comment ref="C14" authorId="0" shapeId="0" xr:uid="{00000000-0006-0000-0800-000017000000}">
      <text>
        <r>
          <rPr>
            <sz val="10"/>
            <rFont val="Arial"/>
            <family val="2"/>
          </rPr>
          <t>Ô chỉ tiêu có định dạng số. Đơn vị tính x 1 (hoặc %)
Dữ liệu động đầu vào hợp lệ khi chỉ được thêm dòng trên ô này.</t>
        </r>
      </text>
    </comment>
    <comment ref="D14" authorId="0" shapeId="0" xr:uid="{00000000-0006-0000-0800-000018000000}">
      <text>
        <r>
          <rPr>
            <sz val="10"/>
            <rFont val="Arial"/>
            <family val="2"/>
          </rPr>
          <t>Ô chỉ tiêu có định dạng số. Đơn vị tính x 1 (hoặc %)
Dữ liệu động đầu vào hợp lệ khi chỉ được thêm dòng trên ô này.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900-000001000000}">
      <text>
        <r>
          <rPr>
            <sz val="10"/>
            <rFont val="Arial"/>
            <family val="2"/>
          </rPr>
          <t>Ô chỉ tiêu có định dạng số. Đơn vị tính x 1 (hoặc %)</t>
        </r>
      </text>
    </comment>
    <comment ref="D3" authorId="0" shapeId="0" xr:uid="{00000000-0006-0000-0900-000002000000}">
      <text>
        <r>
          <rPr>
            <sz val="10"/>
            <rFont val="Arial"/>
            <family val="2"/>
          </rPr>
          <t>Ô chỉ tiêu có định dạng số. Đơn vị tính x 1 (hoặc %)</t>
        </r>
      </text>
    </comment>
    <comment ref="E3" authorId="0" shapeId="0" xr:uid="{00000000-0006-0000-0900-000003000000}">
      <text>
        <r>
          <rPr>
            <sz val="10"/>
            <rFont val="Arial"/>
            <family val="2"/>
          </rPr>
          <t>Ô chỉ tiêu có định dạng số. Đơn vị tính x 1 (hoặc %)</t>
        </r>
      </text>
    </comment>
    <comment ref="F3" authorId="0" shapeId="0" xr:uid="{00000000-0006-0000-0900-000004000000}">
      <text>
        <r>
          <rPr>
            <sz val="10"/>
            <rFont val="Arial"/>
            <family val="2"/>
          </rPr>
          <t>Ô chỉ tiêu có định dạng số. Đơn vị tính x 1 (hoặc %)</t>
        </r>
      </text>
    </comment>
    <comment ref="G3" authorId="0" shapeId="0" xr:uid="{00000000-0006-0000-0900-000005000000}">
      <text>
        <r>
          <rPr>
            <sz val="10"/>
            <rFont val="Arial"/>
            <family val="2"/>
          </rPr>
          <t>Ô chỉ tiêu có định dạng số. Đơn vị tính x 1 (hoặc %)</t>
        </r>
      </text>
    </comment>
    <comment ref="C4" authorId="0" shapeId="0" xr:uid="{00000000-0006-0000-0900-000006000000}">
      <text>
        <r>
          <rPr>
            <sz val="10"/>
            <rFont val="Arial"/>
            <family val="2"/>
          </rPr>
          <t>Ô chỉ tiêu có định dạng số. Đơn vị tính x 1 (hoặc %)</t>
        </r>
      </text>
    </comment>
    <comment ref="D4" authorId="0" shapeId="0" xr:uid="{00000000-0006-0000-0900-000007000000}">
      <text>
        <r>
          <rPr>
            <sz val="10"/>
            <rFont val="Arial"/>
            <family val="2"/>
          </rPr>
          <t>Ô chỉ tiêu có định dạng số. Đơn vị tính x 1 (hoặc %)</t>
        </r>
      </text>
    </comment>
    <comment ref="E4" authorId="0" shapeId="0" xr:uid="{00000000-0006-0000-0900-000008000000}">
      <text>
        <r>
          <rPr>
            <sz val="10"/>
            <rFont val="Arial"/>
            <family val="2"/>
          </rPr>
          <t>Ô chỉ tiêu có định dạng số. Đơn vị tính x 1 (hoặc %)</t>
        </r>
      </text>
    </comment>
    <comment ref="F4" authorId="0" shapeId="0" xr:uid="{00000000-0006-0000-0900-000009000000}">
      <text>
        <r>
          <rPr>
            <sz val="10"/>
            <rFont val="Arial"/>
            <family val="2"/>
          </rPr>
          <t>Ô chỉ tiêu có định dạng số. Đơn vị tính x 1 (hoặc %)</t>
        </r>
      </text>
    </comment>
    <comment ref="G4" authorId="0" shapeId="0" xr:uid="{00000000-0006-0000-0900-00000A000000}">
      <text>
        <r>
          <rPr>
            <sz val="10"/>
            <rFont val="Arial"/>
            <family val="2"/>
          </rPr>
          <t>Ô chỉ tiêu có định dạng số. Đơn vị tính x 1 (hoặc %)</t>
        </r>
      </text>
    </comment>
    <comment ref="C5" authorId="0" shapeId="0" xr:uid="{00000000-0006-0000-0900-00000B000000}">
      <text>
        <r>
          <rPr>
            <sz val="10"/>
            <rFont val="Arial"/>
            <family val="2"/>
          </rPr>
          <t>Ô chỉ tiêu có định dạng số. Đơn vị tính x 1 (hoặc %)</t>
        </r>
      </text>
    </comment>
    <comment ref="D5" authorId="0" shapeId="0" xr:uid="{00000000-0006-0000-0900-00000C000000}">
      <text>
        <r>
          <rPr>
            <sz val="10"/>
            <rFont val="Arial"/>
            <family val="2"/>
          </rPr>
          <t>Ô chỉ tiêu có định dạng số. Đơn vị tính x 1 (hoặc %)</t>
        </r>
      </text>
    </comment>
    <comment ref="E5" authorId="0" shapeId="0" xr:uid="{00000000-0006-0000-0900-00000D000000}">
      <text>
        <r>
          <rPr>
            <sz val="10"/>
            <rFont val="Arial"/>
            <family val="2"/>
          </rPr>
          <t>Ô chỉ tiêu có định dạng số. Đơn vị tính x 1 (hoặc %)</t>
        </r>
      </text>
    </comment>
    <comment ref="F5" authorId="0" shapeId="0" xr:uid="{00000000-0006-0000-0900-00000E000000}">
      <text>
        <r>
          <rPr>
            <sz val="10"/>
            <rFont val="Arial"/>
            <family val="2"/>
          </rPr>
          <t>Ô chỉ tiêu có định dạng số. Đơn vị tính x 1 (hoặc %)</t>
        </r>
      </text>
    </comment>
    <comment ref="G5" authorId="0" shapeId="0" xr:uid="{00000000-0006-0000-0900-00000F000000}">
      <text>
        <r>
          <rPr>
            <sz val="10"/>
            <rFont val="Arial"/>
            <family val="2"/>
          </rPr>
          <t>Ô chỉ tiêu có định dạng số. Đơn vị tính x 1 (hoặc %)</t>
        </r>
      </text>
    </comment>
    <comment ref="C6" authorId="0" shapeId="0" xr:uid="{00000000-0006-0000-0900-000010000000}">
      <text>
        <r>
          <rPr>
            <sz val="10"/>
            <rFont val="Arial"/>
            <family val="2"/>
          </rPr>
          <t>Ô chỉ tiêu có định dạng số. Đơn vị tính x 1 (hoặc %)</t>
        </r>
      </text>
    </comment>
    <comment ref="D6" authorId="0" shapeId="0" xr:uid="{00000000-0006-0000-0900-000011000000}">
      <text>
        <r>
          <rPr>
            <sz val="10"/>
            <rFont val="Arial"/>
            <family val="2"/>
          </rPr>
          <t>Ô chỉ tiêu có định dạng số. Đơn vị tính x 1 (hoặc %)</t>
        </r>
      </text>
    </comment>
    <comment ref="E6" authorId="0" shapeId="0" xr:uid="{00000000-0006-0000-0900-000012000000}">
      <text>
        <r>
          <rPr>
            <sz val="10"/>
            <rFont val="Arial"/>
            <family val="2"/>
          </rPr>
          <t>Ô chỉ tiêu có định dạng số. Đơn vị tính x 1 (hoặc %)</t>
        </r>
      </text>
    </comment>
    <comment ref="F6" authorId="0" shapeId="0" xr:uid="{00000000-0006-0000-0900-000013000000}">
      <text>
        <r>
          <rPr>
            <sz val="10"/>
            <rFont val="Arial"/>
            <family val="2"/>
          </rPr>
          <t>Ô chỉ tiêu có định dạng số. Đơn vị tính x 1 (hoặc %)</t>
        </r>
      </text>
    </comment>
    <comment ref="G6" authorId="0" shapeId="0" xr:uid="{00000000-0006-0000-0900-000014000000}">
      <text>
        <r>
          <rPr>
            <sz val="10"/>
            <rFont val="Arial"/>
            <family val="2"/>
          </rPr>
          <t>Ô chỉ tiêu có định dạng số. Đơn vị tính x 1 (hoặc %)</t>
        </r>
      </text>
    </comment>
    <comment ref="C7" authorId="0" shapeId="0" xr:uid="{00000000-0006-0000-0900-000015000000}">
      <text>
        <r>
          <rPr>
            <sz val="10"/>
            <rFont val="Arial"/>
            <family val="2"/>
          </rPr>
          <t>Ô chỉ tiêu có định dạng số. Đơn vị tính x 1 (hoặc %)</t>
        </r>
      </text>
    </comment>
    <comment ref="D7" authorId="0" shapeId="0" xr:uid="{00000000-0006-0000-0900-000016000000}">
      <text>
        <r>
          <rPr>
            <sz val="10"/>
            <rFont val="Arial"/>
            <family val="2"/>
          </rPr>
          <t>Ô chỉ tiêu có định dạng số. Đơn vị tính x 1 (hoặc %)</t>
        </r>
      </text>
    </comment>
    <comment ref="E7" authorId="0" shapeId="0" xr:uid="{00000000-0006-0000-0900-000017000000}">
      <text>
        <r>
          <rPr>
            <sz val="10"/>
            <rFont val="Arial"/>
            <family val="2"/>
          </rPr>
          <t>Ô chỉ tiêu có định dạng số. Đơn vị tính x 1 (hoặc %)</t>
        </r>
      </text>
    </comment>
    <comment ref="F7" authorId="0" shapeId="0" xr:uid="{00000000-0006-0000-0900-000018000000}">
      <text>
        <r>
          <rPr>
            <sz val="10"/>
            <rFont val="Arial"/>
            <family val="2"/>
          </rPr>
          <t>Ô chỉ tiêu có định dạng số. Đơn vị tính x 1 (hoặc %)</t>
        </r>
      </text>
    </comment>
    <comment ref="G7" authorId="0" shapeId="0" xr:uid="{00000000-0006-0000-0900-000019000000}">
      <text>
        <r>
          <rPr>
            <sz val="10"/>
            <rFont val="Arial"/>
            <family val="2"/>
          </rPr>
          <t>Ô chỉ tiêu có định dạng số. Đơn vị tính x 1 (hoặc %)</t>
        </r>
      </text>
    </comment>
    <comment ref="A9" authorId="0" shapeId="0" xr:uid="{00000000-0006-0000-0900-00001A000000}">
      <text>
        <r>
          <rPr>
            <sz val="10"/>
            <rFont val="Arial"/>
            <family val="2"/>
          </rPr>
          <t>Ô chỉ tiêu có định dạng ký tự
Dữ liệu động đầu vào hợp lệ khi chỉ được thêm dòng trên ô này.</t>
        </r>
      </text>
    </comment>
    <comment ref="B9" authorId="0" shapeId="0" xr:uid="{00000000-0006-0000-0900-00001B000000}">
      <text>
        <r>
          <rPr>
            <sz val="10"/>
            <rFont val="Arial"/>
            <family val="2"/>
          </rPr>
          <t>Ô chỉ tiêu có định dạng ký tự
Dữ liệu động đầu vào hợp lệ khi chỉ được thêm dòng trên ô này.</t>
        </r>
      </text>
    </comment>
    <comment ref="C9" authorId="0" shapeId="0" xr:uid="{00000000-0006-0000-0900-00001C000000}">
      <text>
        <r>
          <rPr>
            <sz val="10"/>
            <rFont val="Arial"/>
            <family val="2"/>
          </rPr>
          <t>Ô chỉ tiêu có định dạng số. Đơn vị tính x 1 (hoặc %)
Dữ liệu động đầu vào hợp lệ khi chỉ được thêm dòng trên ô này.</t>
        </r>
      </text>
    </comment>
    <comment ref="D9" authorId="0" shapeId="0" xr:uid="{00000000-0006-0000-0900-00001D000000}">
      <text>
        <r>
          <rPr>
            <sz val="10"/>
            <rFont val="Arial"/>
            <family val="2"/>
          </rPr>
          <t>Ô chỉ tiêu có định dạng số. Đơn vị tính x 1 (hoặc %)
Dữ liệu động đầu vào hợp lệ khi chỉ được thêm dòng trên ô này.</t>
        </r>
      </text>
    </comment>
    <comment ref="E9" authorId="0" shapeId="0" xr:uid="{00000000-0006-0000-0900-00001E000000}">
      <text>
        <r>
          <rPr>
            <sz val="10"/>
            <rFont val="Arial"/>
            <family val="2"/>
          </rPr>
          <t>Ô chỉ tiêu có định dạng số. Đơn vị tính x 1 (hoặc %)
Dữ liệu động đầu vào hợp lệ khi chỉ được thêm dòng trên ô này.</t>
        </r>
      </text>
    </comment>
    <comment ref="F9" authorId="0" shapeId="0" xr:uid="{00000000-0006-0000-0900-00001F000000}">
      <text>
        <r>
          <rPr>
            <sz val="10"/>
            <rFont val="Arial"/>
            <family val="2"/>
          </rPr>
          <t>Ô chỉ tiêu có định dạng số. Đơn vị tính x 1 (hoặc %)
Dữ liệu động đầu vào hợp lệ khi chỉ được thêm dòng trên ô này.</t>
        </r>
      </text>
    </comment>
    <comment ref="G9" authorId="0" shapeId="0" xr:uid="{00000000-0006-0000-0900-000020000000}">
      <text>
        <r>
          <rPr>
            <sz val="10"/>
            <rFont val="Arial"/>
            <family val="2"/>
          </rPr>
          <t>Ô chỉ tiêu có định dạng số. Đơn vị tính x 1 (hoặc %)
Dữ liệu động đầu vào hợp lệ khi chỉ được thêm dòng trên ô này.</t>
        </r>
      </text>
    </comment>
    <comment ref="A11" authorId="0" shapeId="0" xr:uid="{00000000-0006-0000-0900-000021000000}">
      <text>
        <r>
          <rPr>
            <sz val="10"/>
            <rFont val="Arial"/>
            <family val="2"/>
          </rPr>
          <t>Ô chỉ tiêu có định dạng ký tự
Dữ liệu động đầu vào hợp lệ khi chỉ được thêm dòng trên ô này.</t>
        </r>
      </text>
    </comment>
    <comment ref="B11" authorId="0" shapeId="0" xr:uid="{00000000-0006-0000-0900-000022000000}">
      <text>
        <r>
          <rPr>
            <sz val="10"/>
            <rFont val="Arial"/>
            <family val="2"/>
          </rPr>
          <t>Ô chỉ tiêu có định dạng ký tự
Dữ liệu động đầu vào hợp lệ khi chỉ được thêm dòng trên ô này.</t>
        </r>
      </text>
    </comment>
    <comment ref="C11" authorId="0" shapeId="0" xr:uid="{00000000-0006-0000-0900-000023000000}">
      <text>
        <r>
          <rPr>
            <sz val="10"/>
            <rFont val="Arial"/>
            <family val="2"/>
          </rPr>
          <t>Ô chỉ tiêu có định dạng số. Đơn vị tính x 1 (hoặc %)
Dữ liệu động đầu vào hợp lệ khi chỉ được thêm dòng trên ô này.</t>
        </r>
      </text>
    </comment>
    <comment ref="D11" authorId="0" shapeId="0" xr:uid="{00000000-0006-0000-0900-000024000000}">
      <text>
        <r>
          <rPr>
            <sz val="10"/>
            <rFont val="Arial"/>
            <family val="2"/>
          </rPr>
          <t>Ô chỉ tiêu có định dạng số. Đơn vị tính x 1 (hoặc %)
Dữ liệu động đầu vào hợp lệ khi chỉ được thêm dòng trên ô này.</t>
        </r>
      </text>
    </comment>
    <comment ref="E11" authorId="0" shapeId="0" xr:uid="{00000000-0006-0000-0900-000025000000}">
      <text>
        <r>
          <rPr>
            <sz val="10"/>
            <rFont val="Arial"/>
            <family val="2"/>
          </rPr>
          <t>Ô chỉ tiêu có định dạng số. Đơn vị tính x 1 (hoặc %)
Dữ liệu động đầu vào hợp lệ khi chỉ được thêm dòng trên ô này.</t>
        </r>
      </text>
    </comment>
    <comment ref="F11" authorId="0" shapeId="0" xr:uid="{00000000-0006-0000-0900-000026000000}">
      <text>
        <r>
          <rPr>
            <sz val="10"/>
            <rFont val="Arial"/>
            <family val="2"/>
          </rPr>
          <t>Ô chỉ tiêu có định dạng số. Đơn vị tính x 1 (hoặc %)
Dữ liệu động đầu vào hợp lệ khi chỉ được thêm dòng trên ô này.</t>
        </r>
      </text>
    </comment>
    <comment ref="G11" authorId="0" shapeId="0" xr:uid="{00000000-0006-0000-0900-000027000000}">
      <text>
        <r>
          <rPr>
            <sz val="10"/>
            <rFont val="Arial"/>
            <family val="2"/>
          </rPr>
          <t>Ô chỉ tiêu có định dạng số. Đơn vị tính x 1 (hoặc %)
Dữ liệu động đầu vào hợp lệ khi chỉ được thêm dòng trên ô này.</t>
        </r>
      </text>
    </comment>
    <comment ref="A13" authorId="0" shapeId="0" xr:uid="{00000000-0006-0000-0900-000028000000}">
      <text>
        <r>
          <rPr>
            <sz val="10"/>
            <rFont val="Arial"/>
            <family val="2"/>
          </rPr>
          <t>Ô chỉ tiêu có định dạng ký tự
Dữ liệu động đầu vào hợp lệ khi chỉ được thêm dòng trên ô này.</t>
        </r>
      </text>
    </comment>
    <comment ref="B13" authorId="0" shapeId="0" xr:uid="{00000000-0006-0000-0900-000029000000}">
      <text>
        <r>
          <rPr>
            <sz val="10"/>
            <rFont val="Arial"/>
            <family val="2"/>
          </rPr>
          <t>Ô chỉ tiêu có định dạng ký tự
Dữ liệu động đầu vào hợp lệ khi chỉ được thêm dòng trên ô này.</t>
        </r>
      </text>
    </comment>
    <comment ref="C13" authorId="0" shapeId="0" xr:uid="{00000000-0006-0000-0900-00002A000000}">
      <text>
        <r>
          <rPr>
            <sz val="10"/>
            <rFont val="Arial"/>
            <family val="2"/>
          </rPr>
          <t>Ô chỉ tiêu có định dạng số. Đơn vị tính x 1 (hoặc %)
Dữ liệu động đầu vào hợp lệ khi chỉ được thêm dòng trên ô này.</t>
        </r>
      </text>
    </comment>
    <comment ref="D13" authorId="0" shapeId="0" xr:uid="{00000000-0006-0000-0900-00002B000000}">
      <text>
        <r>
          <rPr>
            <sz val="10"/>
            <rFont val="Arial"/>
            <family val="2"/>
          </rPr>
          <t>Ô chỉ tiêu có định dạng số. Đơn vị tính x 1 (hoặc %)
Dữ liệu động đầu vào hợp lệ khi chỉ được thêm dòng trên ô này.</t>
        </r>
      </text>
    </comment>
    <comment ref="E13" authorId="0" shapeId="0" xr:uid="{00000000-0006-0000-0900-00002C000000}">
      <text>
        <r>
          <rPr>
            <sz val="10"/>
            <rFont val="Arial"/>
            <family val="2"/>
          </rPr>
          <t>Ô chỉ tiêu có định dạng số. Đơn vị tính x 1 (hoặc %)
Dữ liệu động đầu vào hợp lệ khi chỉ được thêm dòng trên ô này.</t>
        </r>
      </text>
    </comment>
    <comment ref="F13" authorId="0" shapeId="0" xr:uid="{00000000-0006-0000-0900-00002D000000}">
      <text>
        <r>
          <rPr>
            <sz val="10"/>
            <rFont val="Arial"/>
            <family val="2"/>
          </rPr>
          <t>Ô chỉ tiêu có định dạng số. Đơn vị tính x 1 (hoặc %)
Dữ liệu động đầu vào hợp lệ khi chỉ được thêm dòng trên ô này.</t>
        </r>
      </text>
    </comment>
    <comment ref="G13" authorId="0" shapeId="0" xr:uid="{00000000-0006-0000-0900-00002E000000}">
      <text>
        <r>
          <rPr>
            <sz val="10"/>
            <rFont val="Arial"/>
            <family val="2"/>
          </rPr>
          <t>Ô chỉ tiêu có định dạng số. Đơn vị tính x 1 (hoặc %)
Dữ liệu động đầu vào hợp lệ khi chỉ được thêm dòng trên ô này.</t>
        </r>
      </text>
    </comment>
    <comment ref="A15" authorId="0" shapeId="0" xr:uid="{00000000-0006-0000-0900-00002F000000}">
      <text>
        <r>
          <rPr>
            <sz val="10"/>
            <rFont val="Arial"/>
            <family val="2"/>
          </rPr>
          <t>Ô chỉ tiêu có định dạng ký tự
Dữ liệu động đầu vào hợp lệ khi chỉ được thêm dòng trên ô này.</t>
        </r>
      </text>
    </comment>
    <comment ref="B15" authorId="0" shapeId="0" xr:uid="{00000000-0006-0000-0900-000030000000}">
      <text>
        <r>
          <rPr>
            <sz val="10"/>
            <rFont val="Arial"/>
            <family val="2"/>
          </rPr>
          <t>Ô chỉ tiêu có định dạng ký tự
Dữ liệu động đầu vào hợp lệ khi chỉ được thêm dòng trên ô này.</t>
        </r>
      </text>
    </comment>
    <comment ref="C15" authorId="0" shapeId="0" xr:uid="{00000000-0006-0000-0900-000031000000}">
      <text>
        <r>
          <rPr>
            <sz val="10"/>
            <rFont val="Arial"/>
            <family val="2"/>
          </rPr>
          <t>Ô chỉ tiêu có định dạng số. Đơn vị tính x 1 (hoặc %)
Dữ liệu động đầu vào hợp lệ khi chỉ được thêm dòng trên ô này.</t>
        </r>
      </text>
    </comment>
    <comment ref="D15" authorId="0" shapeId="0" xr:uid="{00000000-0006-0000-0900-000032000000}">
      <text>
        <r>
          <rPr>
            <sz val="10"/>
            <rFont val="Arial"/>
            <family val="2"/>
          </rPr>
          <t>Ô chỉ tiêu có định dạng số. Đơn vị tính x 1 (hoặc %)
Dữ liệu động đầu vào hợp lệ khi chỉ được thêm dòng trên ô này.</t>
        </r>
      </text>
    </comment>
    <comment ref="E15" authorId="0" shapeId="0" xr:uid="{00000000-0006-0000-0900-000033000000}">
      <text>
        <r>
          <rPr>
            <sz val="10"/>
            <rFont val="Arial"/>
            <family val="2"/>
          </rPr>
          <t>Ô chỉ tiêu có định dạng số. Đơn vị tính x 1 (hoặc %)
Dữ liệu động đầu vào hợp lệ khi chỉ được thêm dòng trên ô này.</t>
        </r>
      </text>
    </comment>
    <comment ref="F15" authorId="0" shapeId="0" xr:uid="{00000000-0006-0000-0900-000034000000}">
      <text>
        <r>
          <rPr>
            <sz val="10"/>
            <rFont val="Arial"/>
            <family val="2"/>
          </rPr>
          <t>Ô chỉ tiêu có định dạng số. Đơn vị tính x 1 (hoặc %)
Dữ liệu động đầu vào hợp lệ khi chỉ được thêm dòng trên ô này.</t>
        </r>
      </text>
    </comment>
    <comment ref="G15" authorId="0" shapeId="0" xr:uid="{00000000-0006-0000-0900-000035000000}">
      <text>
        <r>
          <rPr>
            <sz val="10"/>
            <rFont val="Arial"/>
            <family val="2"/>
          </rPr>
          <t>Ô chỉ tiêu có định dạng số. Đơn vị tính x 1 (hoặc %)
Dữ liệu động đầu vào hợp lệ khi chỉ được thêm dòng trên ô này.</t>
        </r>
      </text>
    </comment>
    <comment ref="A17" authorId="0" shapeId="0" xr:uid="{00000000-0006-0000-0900-000036000000}">
      <text>
        <r>
          <rPr>
            <sz val="10"/>
            <rFont val="Arial"/>
            <family val="2"/>
          </rPr>
          <t>Ô chỉ tiêu có định dạng ký tự
Dữ liệu động đầu vào hợp lệ khi chỉ được thêm dòng trên ô này.</t>
        </r>
      </text>
    </comment>
    <comment ref="B17" authorId="0" shapeId="0" xr:uid="{00000000-0006-0000-0900-000037000000}">
      <text>
        <r>
          <rPr>
            <sz val="10"/>
            <rFont val="Arial"/>
            <family val="2"/>
          </rPr>
          <t>Ô chỉ tiêu có định dạng ký tự
Dữ liệu động đầu vào hợp lệ khi chỉ được thêm dòng trên ô này.</t>
        </r>
      </text>
    </comment>
    <comment ref="C17" authorId="0" shapeId="0" xr:uid="{00000000-0006-0000-0900-000038000000}">
      <text>
        <r>
          <rPr>
            <sz val="10"/>
            <rFont val="Arial"/>
            <family val="2"/>
          </rPr>
          <t>Ô chỉ tiêu có định dạng số. Đơn vị tính x 1 (hoặc %)
Dữ liệu động đầu vào hợp lệ khi chỉ được thêm dòng trên ô này.</t>
        </r>
      </text>
    </comment>
    <comment ref="D17" authorId="0" shapeId="0" xr:uid="{00000000-0006-0000-0900-000039000000}">
      <text>
        <r>
          <rPr>
            <sz val="10"/>
            <rFont val="Arial"/>
            <family val="2"/>
          </rPr>
          <t>Ô chỉ tiêu có định dạng số. Đơn vị tính x 1 (hoặc %)
Dữ liệu động đầu vào hợp lệ khi chỉ được thêm dòng trên ô này.</t>
        </r>
      </text>
    </comment>
    <comment ref="E17" authorId="0" shapeId="0" xr:uid="{00000000-0006-0000-0900-00003A000000}">
      <text>
        <r>
          <rPr>
            <sz val="10"/>
            <rFont val="Arial"/>
            <family val="2"/>
          </rPr>
          <t>Ô chỉ tiêu có định dạng số. Đơn vị tính x 1 (hoặc %)
Dữ liệu động đầu vào hợp lệ khi chỉ được thêm dòng trên ô này.</t>
        </r>
      </text>
    </comment>
    <comment ref="F17" authorId="0" shapeId="0" xr:uid="{00000000-0006-0000-0900-00003B000000}">
      <text>
        <r>
          <rPr>
            <sz val="10"/>
            <rFont val="Arial"/>
            <family val="2"/>
          </rPr>
          <t>Ô chỉ tiêu có định dạng số. Đơn vị tính x 1 (hoặc %)
Dữ liệu động đầu vào hợp lệ khi chỉ được thêm dòng trên ô này.</t>
        </r>
      </text>
    </comment>
    <comment ref="G17" authorId="0" shapeId="0" xr:uid="{00000000-0006-0000-0900-00003C000000}">
      <text>
        <r>
          <rPr>
            <sz val="10"/>
            <rFont val="Arial"/>
            <family val="2"/>
          </rPr>
          <t>Ô chỉ tiêu có định dạng số. Đơn vị tính x 1 (hoặc %)
Dữ liệu động đầu vào hợp lệ khi chỉ được thêm dòng trên ô này.</t>
        </r>
      </text>
    </comment>
    <comment ref="A19" authorId="0" shapeId="0" xr:uid="{00000000-0006-0000-0900-00003D000000}">
      <text>
        <r>
          <rPr>
            <sz val="10"/>
            <rFont val="Arial"/>
            <family val="2"/>
          </rPr>
          <t>Ô chỉ tiêu có định dạng ký tự
Dữ liệu động đầu vào hợp lệ khi chỉ được thêm dòng trên ô này.</t>
        </r>
      </text>
    </comment>
    <comment ref="B19" authorId="0" shapeId="0" xr:uid="{00000000-0006-0000-0900-00003E000000}">
      <text>
        <r>
          <rPr>
            <sz val="10"/>
            <rFont val="Arial"/>
            <family val="2"/>
          </rPr>
          <t>Ô chỉ tiêu có định dạng ký tự
Dữ liệu động đầu vào hợp lệ khi chỉ được thêm dòng trên ô này.</t>
        </r>
      </text>
    </comment>
    <comment ref="C19" authorId="0" shapeId="0" xr:uid="{00000000-0006-0000-0900-00003F000000}">
      <text>
        <r>
          <rPr>
            <sz val="10"/>
            <rFont val="Arial"/>
            <family val="2"/>
          </rPr>
          <t>Ô chỉ tiêu có định dạng số. Đơn vị tính x 1 (hoặc %)
Dữ liệu động đầu vào hợp lệ khi chỉ được thêm dòng trên ô này.</t>
        </r>
      </text>
    </comment>
    <comment ref="D19" authorId="0" shapeId="0" xr:uid="{00000000-0006-0000-0900-000040000000}">
      <text>
        <r>
          <rPr>
            <sz val="10"/>
            <rFont val="Arial"/>
            <family val="2"/>
          </rPr>
          <t>Ô chỉ tiêu có định dạng số. Đơn vị tính x 1 (hoặc %)
Dữ liệu động đầu vào hợp lệ khi chỉ được thêm dòng trên ô này.</t>
        </r>
      </text>
    </comment>
    <comment ref="E19" authorId="0" shapeId="0" xr:uid="{00000000-0006-0000-0900-000041000000}">
      <text>
        <r>
          <rPr>
            <sz val="10"/>
            <rFont val="Arial"/>
            <family val="2"/>
          </rPr>
          <t>Ô chỉ tiêu có định dạng số. Đơn vị tính x 1 (hoặc %)
Dữ liệu động đầu vào hợp lệ khi chỉ được thêm dòng trên ô này.</t>
        </r>
      </text>
    </comment>
    <comment ref="F19" authorId="0" shapeId="0" xr:uid="{00000000-0006-0000-0900-000042000000}">
      <text>
        <r>
          <rPr>
            <sz val="10"/>
            <rFont val="Arial"/>
            <family val="2"/>
          </rPr>
          <t>Ô chỉ tiêu có định dạng số. Đơn vị tính x 1 (hoặc %)
Dữ liệu động đầu vào hợp lệ khi chỉ được thêm dòng trên ô này.</t>
        </r>
      </text>
    </comment>
    <comment ref="G19" authorId="0" shapeId="0" xr:uid="{00000000-0006-0000-0900-000043000000}">
      <text>
        <r>
          <rPr>
            <sz val="10"/>
            <rFont val="Arial"/>
            <family val="2"/>
          </rPr>
          <t>Ô chỉ tiêu có định dạng số. Đơn vị tính x 1 (hoặc %)
Dữ liệu động đầu vào hợp lệ khi chỉ được thêm dòng trên ô này.</t>
        </r>
      </text>
    </comment>
    <comment ref="C20" authorId="0" shapeId="0" xr:uid="{00000000-0006-0000-0900-000044000000}">
      <text>
        <r>
          <rPr>
            <sz val="10"/>
            <rFont val="Arial"/>
            <family val="2"/>
          </rPr>
          <t>Ô chỉ tiêu có định dạng số. Đơn vị tính x 1 (hoặc %)</t>
        </r>
      </text>
    </comment>
    <comment ref="D20" authorId="0" shapeId="0" xr:uid="{00000000-0006-0000-0900-000045000000}">
      <text>
        <r>
          <rPr>
            <sz val="10"/>
            <rFont val="Arial"/>
            <family val="2"/>
          </rPr>
          <t>Ô chỉ tiêu có định dạng số. Đơn vị tính x 1 (hoặc %)</t>
        </r>
      </text>
    </comment>
    <comment ref="E20" authorId="0" shapeId="0" xr:uid="{00000000-0006-0000-0900-000046000000}">
      <text>
        <r>
          <rPr>
            <sz val="10"/>
            <rFont val="Arial"/>
            <family val="2"/>
          </rPr>
          <t>Ô chỉ tiêu có định dạng số. Đơn vị tính x 1 (hoặc %)</t>
        </r>
      </text>
    </comment>
    <comment ref="F20" authorId="0" shapeId="0" xr:uid="{00000000-0006-0000-0900-000047000000}">
      <text>
        <r>
          <rPr>
            <sz val="10"/>
            <rFont val="Arial"/>
            <family val="2"/>
          </rPr>
          <t>Ô chỉ tiêu có định dạng số. Đơn vị tính x 1 (hoặc %)</t>
        </r>
      </text>
    </comment>
    <comment ref="G20" authorId="0" shapeId="0" xr:uid="{00000000-0006-0000-0900-000048000000}">
      <text>
        <r>
          <rPr>
            <sz val="10"/>
            <rFont val="Arial"/>
            <family val="2"/>
          </rPr>
          <t>Ô chỉ tiêu có định dạng số. Đơn vị tính x 1 (hoặc %)</t>
        </r>
      </text>
    </comment>
    <comment ref="C21" authorId="0" shapeId="0" xr:uid="{00000000-0006-0000-0900-000049000000}">
      <text>
        <r>
          <rPr>
            <sz val="10"/>
            <rFont val="Arial"/>
            <family val="2"/>
          </rPr>
          <t>Ô chỉ tiêu có định dạng số. Đơn vị tính x 1 (hoặc %)</t>
        </r>
      </text>
    </comment>
    <comment ref="D21" authorId="0" shapeId="0" xr:uid="{00000000-0006-0000-0900-00004A000000}">
      <text>
        <r>
          <rPr>
            <sz val="10"/>
            <rFont val="Arial"/>
            <family val="2"/>
          </rPr>
          <t>Ô chỉ tiêu có định dạng số. Đơn vị tính x 1 (hoặc %)</t>
        </r>
      </text>
    </comment>
    <comment ref="E21" authorId="0" shapeId="0" xr:uid="{00000000-0006-0000-0900-00004B000000}">
      <text>
        <r>
          <rPr>
            <sz val="10"/>
            <rFont val="Arial"/>
            <family val="2"/>
          </rPr>
          <t>Ô chỉ tiêu có định dạng số. Đơn vị tính x 1 (hoặc %)</t>
        </r>
      </text>
    </comment>
    <comment ref="F21" authorId="0" shapeId="0" xr:uid="{00000000-0006-0000-0900-00004C000000}">
      <text>
        <r>
          <rPr>
            <sz val="10"/>
            <rFont val="Arial"/>
            <family val="2"/>
          </rPr>
          <t>Ô chỉ tiêu có định dạng số. Đơn vị tính x 1 (hoặc %)</t>
        </r>
      </text>
    </comment>
    <comment ref="G21" authorId="0" shapeId="0" xr:uid="{00000000-0006-0000-0900-00004D000000}">
      <text>
        <r>
          <rPr>
            <sz val="10"/>
            <rFont val="Arial"/>
            <family val="2"/>
          </rPr>
          <t>Ô chỉ tiêu có định dạng số. Đơn vị tính x 1 (hoặc %)</t>
        </r>
      </text>
    </comment>
    <comment ref="A23" authorId="0" shapeId="0" xr:uid="{00000000-0006-0000-0900-00004E000000}">
      <text>
        <r>
          <rPr>
            <sz val="10"/>
            <rFont val="Arial"/>
            <family val="2"/>
          </rPr>
          <t>Ô chỉ tiêu có định dạng ký tự
Dữ liệu động đầu vào hợp lệ khi chỉ được thêm dòng trên ô này.</t>
        </r>
      </text>
    </comment>
    <comment ref="B23" authorId="0" shapeId="0" xr:uid="{00000000-0006-0000-0900-00004F000000}">
      <text>
        <r>
          <rPr>
            <sz val="10"/>
            <rFont val="Arial"/>
            <family val="2"/>
          </rPr>
          <t>Ô chỉ tiêu có định dạng ký tự
Dữ liệu động đầu vào hợp lệ khi chỉ được thêm dòng trên ô này.</t>
        </r>
      </text>
    </comment>
    <comment ref="C23" authorId="0" shapeId="0" xr:uid="{00000000-0006-0000-0900-000050000000}">
      <text>
        <r>
          <rPr>
            <sz val="10"/>
            <rFont val="Arial"/>
            <family val="2"/>
          </rPr>
          <t>Ô chỉ tiêu có định dạng số. Đơn vị tính x 1 (hoặc %)
Dữ liệu động đầu vào hợp lệ khi chỉ được thêm dòng trên ô này.</t>
        </r>
      </text>
    </comment>
    <comment ref="D23" authorId="0" shapeId="0" xr:uid="{00000000-0006-0000-0900-000051000000}">
      <text>
        <r>
          <rPr>
            <sz val="10"/>
            <rFont val="Arial"/>
            <family val="2"/>
          </rPr>
          <t>Ô chỉ tiêu có định dạng số. Đơn vị tính x 1 (hoặc %)
Dữ liệu động đầu vào hợp lệ khi chỉ được thêm dòng trên ô này.</t>
        </r>
      </text>
    </comment>
    <comment ref="E23" authorId="0" shapeId="0" xr:uid="{00000000-0006-0000-0900-000052000000}">
      <text>
        <r>
          <rPr>
            <sz val="10"/>
            <rFont val="Arial"/>
            <family val="2"/>
          </rPr>
          <t>Ô chỉ tiêu có định dạng số. Đơn vị tính x 1 (hoặc %)
Dữ liệu động đầu vào hợp lệ khi chỉ được thêm dòng trên ô này.</t>
        </r>
      </text>
    </comment>
    <comment ref="F23" authorId="0" shapeId="0" xr:uid="{00000000-0006-0000-0900-000053000000}">
      <text>
        <r>
          <rPr>
            <sz val="10"/>
            <rFont val="Arial"/>
            <family val="2"/>
          </rPr>
          <t>Ô chỉ tiêu có định dạng số. Đơn vị tính x 1 (hoặc %)
Dữ liệu động đầu vào hợp lệ khi chỉ được thêm dòng trên ô này.</t>
        </r>
      </text>
    </comment>
    <comment ref="G23" authorId="0" shapeId="0" xr:uid="{00000000-0006-0000-0900-000054000000}">
      <text>
        <r>
          <rPr>
            <sz val="10"/>
            <rFont val="Arial"/>
            <family val="2"/>
          </rPr>
          <t>Ô chỉ tiêu có định dạng số. Đơn vị tính x 1 (hoặc %)
Dữ liệu động đầu vào hợp lệ khi chỉ được thêm dòng trên ô này.</t>
        </r>
      </text>
    </comment>
    <comment ref="A25" authorId="0" shapeId="0" xr:uid="{00000000-0006-0000-0900-000055000000}">
      <text>
        <r>
          <rPr>
            <sz val="10"/>
            <rFont val="Arial"/>
            <family val="2"/>
          </rPr>
          <t>Ô chỉ tiêu có định dạng ký tự
Dữ liệu động đầu vào hợp lệ khi chỉ được thêm dòng trên ô này.</t>
        </r>
      </text>
    </comment>
    <comment ref="B25" authorId="0" shapeId="0" xr:uid="{00000000-0006-0000-0900-000056000000}">
      <text>
        <r>
          <rPr>
            <sz val="10"/>
            <rFont val="Arial"/>
            <family val="2"/>
          </rPr>
          <t>Ô chỉ tiêu có định dạng ký tự
Dữ liệu động đầu vào hợp lệ khi chỉ được thêm dòng trên ô này.</t>
        </r>
      </text>
    </comment>
    <comment ref="C25" authorId="0" shapeId="0" xr:uid="{00000000-0006-0000-0900-000057000000}">
      <text>
        <r>
          <rPr>
            <sz val="10"/>
            <rFont val="Arial"/>
            <family val="2"/>
          </rPr>
          <t>Ô chỉ tiêu có định dạng số. Đơn vị tính x 1 (hoặc %)
Dữ liệu động đầu vào hợp lệ khi chỉ được thêm dòng trên ô này.</t>
        </r>
      </text>
    </comment>
    <comment ref="D25" authorId="0" shapeId="0" xr:uid="{00000000-0006-0000-0900-000058000000}">
      <text>
        <r>
          <rPr>
            <sz val="10"/>
            <rFont val="Arial"/>
            <family val="2"/>
          </rPr>
          <t>Ô chỉ tiêu có định dạng số. Đơn vị tính x 1 (hoặc %)
Dữ liệu động đầu vào hợp lệ khi chỉ được thêm dòng trên ô này.</t>
        </r>
      </text>
    </comment>
    <comment ref="E25" authorId="0" shapeId="0" xr:uid="{00000000-0006-0000-0900-000059000000}">
      <text>
        <r>
          <rPr>
            <sz val="10"/>
            <rFont val="Arial"/>
            <family val="2"/>
          </rPr>
          <t>Ô chỉ tiêu có định dạng số. Đơn vị tính x 1 (hoặc %)
Dữ liệu động đầu vào hợp lệ khi chỉ được thêm dòng trên ô này.</t>
        </r>
      </text>
    </comment>
    <comment ref="F25" authorId="0" shapeId="0" xr:uid="{00000000-0006-0000-0900-00005A000000}">
      <text>
        <r>
          <rPr>
            <sz val="10"/>
            <rFont val="Arial"/>
            <family val="2"/>
          </rPr>
          <t>Ô chỉ tiêu có định dạng số. Đơn vị tính x 1 (hoặc %)
Dữ liệu động đầu vào hợp lệ khi chỉ được thêm dòng trên ô này.</t>
        </r>
      </text>
    </comment>
    <comment ref="G25" authorId="0" shapeId="0" xr:uid="{00000000-0006-0000-0900-00005B000000}">
      <text>
        <r>
          <rPr>
            <sz val="10"/>
            <rFont val="Arial"/>
            <family val="2"/>
          </rPr>
          <t>Ô chỉ tiêu có định dạng số. Đơn vị tính x 1 (hoặc %)
Dữ liệu động đầu vào hợp lệ khi chỉ được thêm dòng trên ô này.</t>
        </r>
      </text>
    </comment>
  </commentList>
</comments>
</file>

<file path=xl/sharedStrings.xml><?xml version="1.0" encoding="utf-8"?>
<sst xmlns="http://schemas.openxmlformats.org/spreadsheetml/2006/main" count="1473" uniqueCount="368">
  <si>
    <t>BÁO CÁO VỀ HOẠT ĐỘNG ĐẦU TƯ CỦA QUỸ ETF</t>
  </si>
  <si>
    <t xml:space="preserve"> </t>
  </si>
  <si>
    <t>Kỳ báo cáo:</t>
  </si>
  <si>
    <t>Tháng/Quý/Bán niên:</t>
  </si>
  <si>
    <t>Năm:</t>
  </si>
  <si>
    <t>Phụ lục XXVI- Thông tư 98/2020/TT-BTC</t>
  </si>
  <si>
    <t>STT</t>
  </si>
  <si>
    <t>Nội dung</t>
  </si>
  <si>
    <t>Tên sheet</t>
  </si>
  <si>
    <t>1</t>
  </si>
  <si>
    <t>Báo cáo về tài sản</t>
  </si>
  <si>
    <t>BCTaiSan_06134</t>
  </si>
  <si>
    <t>2</t>
  </si>
  <si>
    <t>Báo cáo kết quả hoạt động</t>
  </si>
  <si>
    <t>BCKetQuaHoatDong_06135</t>
  </si>
  <si>
    <t>3</t>
  </si>
  <si>
    <t>Báo cáo danh mục đầu tư</t>
  </si>
  <si>
    <t>BCDanhMucDauTu_06136</t>
  </si>
  <si>
    <t>4</t>
  </si>
  <si>
    <t>Báo cáo hoạt động vay, giao dịch mua bán lại</t>
  </si>
  <si>
    <t>BCHDVay_GDMuaBanLai</t>
  </si>
  <si>
    <t>5</t>
  </si>
  <si>
    <t>Một số chỉ tiêu khác</t>
  </si>
  <si>
    <t>Khac_06137</t>
  </si>
  <si>
    <t>6</t>
  </si>
  <si>
    <t>Thống kê giá dịch vụ giao dịch</t>
  </si>
  <si>
    <t>TKGia_DichVuGiaoDich</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</si>
  <si>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</si>
  <si>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</si>
  <si>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</si>
  <si>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</si>
  <si>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</si>
  <si>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</si>
  <si>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</si>
  <si>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</si>
  <si>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</si>
  <si>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</si>
  <si>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</si>
  <si>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</si>
  <si>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</si>
  <si>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</si>
  <si>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</si>
  <si>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</si>
  <si>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</si>
  <si>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</si>
  <si>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</si>
  <si>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của Ngân hàng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</si>
  <si>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</si>
  <si>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</si>
  <si>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</si>
  <si>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</si>
  <si>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</si>
  <si>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</si>
  <si>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</si>
  <si>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</si>
  <si>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TT</t>
  </si>
  <si>
    <t>Chỉ tiêu</t>
  </si>
  <si>
    <t>Mã chỉ tiêu</t>
  </si>
  <si>
    <t>Kỳ báo cáo</t>
  </si>
  <si>
    <t>Kỳ trước</t>
  </si>
  <si>
    <t>%/cùng kỳ năm trước</t>
  </si>
  <si>
    <t>I</t>
  </si>
  <si>
    <t>TÀI SẢN</t>
  </si>
  <si>
    <t>2200</t>
  </si>
  <si>
    <t>I.1</t>
  </si>
  <si>
    <t>Tiền và các khoản tương đương tiền</t>
  </si>
  <si>
    <t>2201</t>
  </si>
  <si>
    <t>Tiền, tương đương tiền</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</si>
  <si>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</si>
  <si>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</si>
  <si>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</si>
  <si>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</si>
  <si>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</si>
  <si>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</si>
  <si>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</si>
  <si>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</si>
  <si>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</si>
  <si>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</si>
  <si>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</si>
  <si>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</si>
  <si>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</si>
  <si>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</si>
  <si>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</si>
  <si>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</si>
  <si>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</si>
  <si>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</si>
  <si>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2209</t>
  </si>
  <si>
    <t>I.7</t>
  </si>
  <si>
    <t>Tiền bán chứng khoán chờ thu</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</si>
  <si>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</si>
  <si>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</si>
  <si>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</si>
  <si>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</si>
  <si>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</si>
  <si>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</si>
  <si>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</si>
  <si>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</si>
  <si>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</si>
  <si>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</si>
  <si>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</si>
  <si>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</si>
  <si>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</si>
  <si>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</si>
  <si>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</si>
  <si>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2221</t>
  </si>
  <si>
    <t>II.2</t>
  </si>
  <si>
    <t>Tiền phải thanh toán mua chứng khoán (kê chi tiết)</t>
  </si>
  <si>
    <t>2214</t>
  </si>
  <si>
    <t>II.3</t>
  </si>
  <si>
    <t>Các khoản phải trả khác</t>
  </si>
  <si>
    <t>2215</t>
  </si>
  <si>
    <t>II.4</t>
  </si>
  <si>
    <t>TỔNG NỢ</t>
  </si>
  <si>
    <t>2216</t>
  </si>
  <si>
    <t>III</t>
  </si>
  <si>
    <t>Tài sản ròng của Quỹ/Công ty đầu tư (I.10-II.4)</t>
  </si>
  <si>
    <t>2217</t>
  </si>
  <si>
    <t>IV</t>
  </si>
  <si>
    <t>Tổng số chứng chỉ quỹ đang lưu hành</t>
  </si>
  <si>
    <t>2218</t>
  </si>
  <si>
    <t>V</t>
  </si>
  <si>
    <t>Giá trị tài sản ròng trên một chứng chỉ quỹ/cổ phiếu</t>
  </si>
  <si>
    <t>2219</t>
  </si>
  <si>
    <t>Lũy kế từ đầu năm</t>
  </si>
  <si>
    <t>Thu nhập từ hoạt động đầu tư</t>
  </si>
  <si>
    <t>Thu từ bất động sản cho thuê (áp dụng đối với các quỹ được phép đầu tư bất động sản)</t>
  </si>
  <si>
    <t>2246</t>
  </si>
  <si>
    <t>2222</t>
  </si>
  <si>
    <t>Các khoản thu nhập khác</t>
  </si>
  <si>
    <t>2223</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</si>
  <si>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</si>
  <si>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</si>
  <si>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</si>
  <si>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</si>
  <si>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</si>
  <si>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</si>
  <si>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</si>
  <si>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</si>
  <si>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</si>
  <si>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2248</t>
  </si>
  <si>
    <t>Chi phí dịch vụ định giá bất động sản (áp dụng đối với các quỹ được phép đầu tư bất động sản)</t>
  </si>
  <si>
    <t>2249</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</si>
  <si>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</si>
  <si>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</si>
  <si>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</si>
  <si>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</si>
  <si>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</si>
  <si>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</si>
  <si>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</si>
  <si>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2231</t>
  </si>
  <si>
    <t>Các loại chi phí khác (nêu chi tiết)</t>
  </si>
  <si>
    <t>2232</t>
  </si>
  <si>
    <t>Thu nhập ròng từ hoạt động đầu tư ( = I - II)</t>
  </si>
  <si>
    <t>2233</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</si>
  <si>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</si>
  <si>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</si>
  <si>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</si>
  <si>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</si>
  <si>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</si>
  <si>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</si>
  <si>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</si>
  <si>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</si>
  <si>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</si>
  <si>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</si>
  <si>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</si>
  <si>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</si>
  <si>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</si>
  <si>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</si>
  <si>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</si>
  <si>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2241</t>
  </si>
  <si>
    <t>Thay đổi giá trị tài sản ròng do việc chi trả lợi tức/cổ tức cho các nhà đầu tư/cổ đông trong kỳ</t>
  </si>
  <si>
    <t>2242</t>
  </si>
  <si>
    <t>Thay đổi giá trị tài sản ròng do phát hành thêm/mua lại chứng chỉ quỹ</t>
  </si>
  <si>
    <t>2247</t>
  </si>
  <si>
    <t>VIII</t>
  </si>
  <si>
    <t>Giá trị tài sản ròng cuối kỳ</t>
  </si>
  <si>
    <t>2243</t>
  </si>
  <si>
    <t>IX</t>
  </si>
  <si>
    <t>Lợi nhuận bình quân năm (chỉ áp dụng đối với báo cáo năm)</t>
  </si>
  <si>
    <t>2244</t>
  </si>
  <si>
    <t>Tỷ suất lợi nhuận bình quân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</si>
  <si>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</si>
  <si>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</si>
  <si>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</si>
  <si>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</si>
  <si>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</si>
  <si>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</si>
  <si>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quỹ được đầu tư bất động sản)</t>
  </si>
  <si>
    <t>Cổ phiếu niêm yết, đăng ký giao dịch, chứng chỉ quỹ niêm yết</t>
  </si>
  <si>
    <t>Tổng</t>
  </si>
  <si>
    <t>Cổ phiếu chưa niêm yết, đăng ký giao dịch, chứng chỉ quỹ không niêm yết</t>
  </si>
  <si>
    <t>Tổng</t>
  </si>
  <si>
    <t>Trái phiếu</t>
  </si>
  <si>
    <t>2251</t>
  </si>
  <si>
    <t>2252</t>
  </si>
  <si>
    <t>Các loại chứng khoán khác</t>
  </si>
  <si>
    <t>2253</t>
  </si>
  <si>
    <t>2254</t>
  </si>
  <si>
    <t>2256</t>
  </si>
  <si>
    <t>2257</t>
  </si>
  <si>
    <t>Tiền</t>
  </si>
  <si>
    <t>2258</t>
  </si>
  <si>
    <t>2259</t>
  </si>
  <si>
    <t/>
  </si>
  <si>
    <t>2261</t>
  </si>
  <si>
    <t>2262</t>
  </si>
  <si>
    <t>Tổng giá trị danh mục</t>
  </si>
  <si>
    <t>2263</t>
  </si>
  <si>
    <t xml:space="preserve">_x000D_
     STT_x000D_
     </t>
  </si>
  <si>
    <t>Nội dung hoạt động (nên chi tiết theo mục tiêu và đối tác)</t>
  </si>
  <si>
    <t>Đối tác</t>
  </si>
  <si>
    <t>Mục tiêu/ Tài sản đảm bảo</t>
  </si>
  <si>
    <t>Kỳ hạn</t>
  </si>
  <si>
    <t>Giá trị khoản vay hoặc khoản cho vay</t>
  </si>
  <si>
    <t>Thời điểm giao dịch</t>
  </si>
  <si>
    <t>Thời điểm báo cáo</t>
  </si>
  <si>
    <t xml:space="preserve">_x000D_
     Ngày tháng năm_x000D_
     </t>
  </si>
  <si>
    <t>Tỷ lệ giá trị hợp đồng/giá trị tài sản ròng của quỹ/công ty (%)</t>
  </si>
  <si>
    <t>Ngày tháng năm</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</si>
  <si>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</si>
  <si>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</si>
  <si>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</si>
  <si>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</si>
  <si>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</si>
  <si>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</si>
  <si>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</si>
  <si>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</si>
  <si>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</si>
  <si>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</si>
  <si>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</si>
  <si>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</si>
  <si>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</si>
  <si>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Các chỉ tiêu về hiệu quả hoạt động</t>
  </si>
  <si>
    <t>Tỷ lệ giá dịch vụ quản lý trả cho công ty quản lý quỹ/Giá trị tài sản ròng trung bình trong kỳ (%)</t>
  </si>
  <si>
    <t>Tỷ lệ giá dịch vụ lưu ký, giám sát trả cho ngân hàng giám sát/Giá trị tài sản ròng trung bình trong kỳ (%)</t>
  </si>
  <si>
    <t>Tỷ tệ chi phí dịch vụ quản trị quỹ và các chi phí khác mà công ty quản lý quỹ trả cho tổ chức cung cấp dịch vụ có liên quan/Giá trị tài sản ròng trung bình trong kỳ (%) (nếu có)</t>
  </si>
  <si>
    <t>Chi phí kiểm toán trả cho tổ chức kiểm toán (nếu phát sinh)/Giá trị tài sản ròng trung bình trong kỳ (%)</t>
  </si>
  <si>
    <t>2255</t>
  </si>
  <si>
    <t>Chi phí trả cho tổ chức quản lý bất động sản/ Giá trị tài sản ròng trung bình trong kỳ (%)</t>
  </si>
  <si>
    <t>Chi phí trả cho doanh nghiệp thẩm định giá bất động sản/Giá trị tài sản ròng trung bình trong kỳ (%)</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</si>
  <si>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</si>
  <si>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</si>
  <si>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</si>
  <si>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</si>
  <si>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</si>
  <si>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</si>
  <si>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</si>
  <si>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Các chỉ tiêu khác</t>
  </si>
  <si>
    <t>Quy mô quỹ/công ty đầu kỳ</t>
  </si>
  <si>
    <t>Tổng giá trị chứng chỉ quỹ/cổ phiếu đang lưu hành đầu kỳ</t>
  </si>
  <si>
    <t>2264</t>
  </si>
  <si>
    <t>Tổng số lượng chứng chỉ quỹ/cổ phiếu đang lưu hành đầu kỳ</t>
  </si>
  <si>
    <t>2265</t>
  </si>
  <si>
    <t>Thay đổi quy mô trong kỳ</t>
  </si>
  <si>
    <t>2266</t>
  </si>
  <si>
    <t>Số lượng chứng chỉ quỹ/cổ phiếu phát hành thêm trong kỳ</t>
  </si>
  <si>
    <t>2267</t>
  </si>
  <si>
    <t>Giá trị vốn thực huy động thêm trong kỳ</t>
  </si>
  <si>
    <t>Số lượng chứng chỉ quỹ mua lại trong kỳ</t>
  </si>
  <si>
    <t>Giá trị vốn thực thanh toán trong kỳ</t>
  </si>
  <si>
    <t>Quy mô quỹ/công ty cuối kỳ</t>
  </si>
  <si>
    <t>2271</t>
  </si>
  <si>
    <t>Tổng giá trị thị trường của quỹ/công ty đang lưu hành cuối kỳ</t>
  </si>
  <si>
    <t>2272</t>
  </si>
  <si>
    <t>Tổng số lượng chứng chỉ quỹ/cổ phiếu đang lưu hành cuối kỳ</t>
  </si>
  <si>
    <t>2273</t>
  </si>
  <si>
    <t>Tỷ lệ nắm giữ chứng chỉ quỹ/cổ phiếu của công ty quản lý quỹ và người có liên quan cuối kỳ</t>
  </si>
  <si>
    <t>2274</t>
  </si>
  <si>
    <t>Tỷ lệ nắm giữ chứng chỉ quỹ/cổ phiếu của 10 nhà đầu tư/cổ đông lớn nhất cuối kỳ</t>
  </si>
  <si>
    <t>2275</t>
  </si>
  <si>
    <t>Tỷ lệ nắm giữ chứng chỉ quỹ/cổ phiếu của nhà đầu tư/cổ đông nước ngoài cuối kỳ</t>
  </si>
  <si>
    <t>2276</t>
  </si>
  <si>
    <t>Giá trị tài sản ròng trên một chứng chỉ quỹ/cổ phiếu cuối kỳ</t>
  </si>
  <si>
    <t>2277</t>
  </si>
  <si>
    <t>Giá trị thị trường trên một chứng chỉ quỹ/cổ phiếu cuối kỳ (áp dụng đối với quỹ niêm yết)</t>
  </si>
  <si>
    <t>2278</t>
  </si>
  <si>
    <t>Số nhà đầu tư tham gia vào quỹ, kể cả giao dịch ký danh " thành "Số nhà đầu tư tham gia vào quỹ, kể cả giao dịch ký danh (áp dụng đối với quỹ mở)</t>
  </si>
  <si>
    <t>2279</t>
  </si>
  <si>
    <t>Tên (mã) các công ty chứng khoán (có giá trị giao dịch vượt quá 5% tổng giá trị giao dịch kỳ báo cáo)</t>
  </si>
  <si>
    <t>Quan hệ với công ty quản lý quỹ</t>
  </si>
  <si>
    <t>Tỷ lệ giao dịch của quỹ/công ty tại từng công ty chứng khoán</t>
  </si>
  <si>
    <t>Giá dịch vụ giao dịch bình quân</t>
  </si>
  <si>
    <t>Giá dịch vụ giao dịch bình quân trên thị trường</t>
  </si>
  <si>
    <t>Giá trị giao dịch trong kỳ báo cáo của quỹ</t>
  </si>
  <si>
    <t>Tổng giá trị giao dịch trong kỳ báo cáo của quỹ/ công ty</t>
  </si>
  <si>
    <t>Tỷ lệ giao dịch của quỹ/công ty qua công ty chứng khoán trong kỳ báo cáo</t>
  </si>
  <si>
    <t>(1)</t>
  </si>
  <si>
    <t>(2)</t>
  </si>
  <si>
    <t>(3)</t>
  </si>
  <si>
    <t>(4)</t>
  </si>
  <si>
    <t>(5)</t>
  </si>
  <si>
    <t>(6)=(4)/(5)(%)</t>
  </si>
  <si>
    <t>(7)</t>
  </si>
  <si>
    <t>(8)</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</si>
  <si>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</si>
  <si>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</si>
  <si>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</si>
  <si>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</si>
  <si>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</si>
  <si>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</si>
  <si>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</si>
  <si>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</si>
  <si>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</si>
  <si>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</si>
  <si>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</si>
  <si>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</si>
  <si>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</si>
  <si>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</si>
  <si>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</si>
  <si>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</si>
  <si>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</si>
  <si>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</si>
  <si>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</si>
  <si>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(Tỷ giá được quy đổi theo tỷ giá giao dịch thực tế tại thời điểm phát sinh giao dịch)</t>
  </si>
  <si>
    <t>Tài sản</t>
  </si>
  <si>
    <t>VND</t>
  </si>
  <si>
    <t>Các khoản tương đương tiền</t>
  </si>
  <si>
    <t>Tiền bán chứng khoán chờ thu (kê chi tiết)</t>
  </si>
  <si>
    <t>Tổng tài sản</t>
  </si>
  <si>
    <t>Tổng nợ</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</si>
  <si>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</si>
  <si>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</si>
  <si>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</si>
  <si>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</si>
  <si>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</si>
  <si>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</si>
  <si>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</si>
  <si>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</si>
  <si>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</si>
  <si>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Giá thị trường hoặc giá trị hợp lý tại_x000D_
     ngày báo cáo</t>
  </si>
  <si>
    <t>Tỷ lệ %/Tổng giá trị tài sản ròng</t>
  </si>
  <si>
    <t>Chứng chỉ tiền gửi</t>
  </si>
  <si>
    <t>Trái phiếu Chính phủ</t>
  </si>
  <si>
    <t>Cổ phiếu niêm yết</t>
  </si>
  <si>
    <t>Trái phiếu niêm yết</t>
  </si>
  <si>
    <t>Chứng chỉ quỹ niêm yết</t>
  </si>
  <si>
    <t>Các loại tài sản khác</t>
  </si>
  <si>
    <t>Tham chiếu</t>
  </si>
  <si>
    <t>Tên Ngân hàng giám sát: Ngân hàng TMCP Đầu tư và Phát triển Việt Nam - Chi nhánh Hà Thành</t>
  </si>
  <si>
    <t>Tháng</t>
  </si>
  <si>
    <t xml:space="preserve">Dự thu cổ tức, tiền lãi chưa đến ngày nhận
</t>
  </si>
  <si>
    <t>Tiền bán chứng khoán phải thu</t>
  </si>
  <si>
    <t>Phải thu khác</t>
  </si>
  <si>
    <t>Tiền gửi của nhà đầu tư cho hoạt động mua chứng chỉ quỹ</t>
  </si>
  <si>
    <t xml:space="preserve">Trả trước phí quản lý niêm yết của Sở giao dịch chứng khoán, Phí SSC
</t>
  </si>
  <si>
    <t>Quyền mua</t>
  </si>
  <si>
    <t>2246.10</t>
  </si>
  <si>
    <t>Tên Công ty quản lý quỹ: Công ty Cổ phần Quản lý Quỹ Việt Cát</t>
  </si>
  <si>
    <t>Tên Quỹ:  QUỸ ETF VFCVN DIAMOND</t>
  </si>
  <si>
    <t>Ngày lập báo cáo: Ngày 05 tháng 03 năm 2026</t>
  </si>
  <si>
    <t xml:space="preserve">      ACB              </t>
  </si>
  <si>
    <t xml:space="preserve">      BMP              </t>
  </si>
  <si>
    <t xml:space="preserve">      CTD              </t>
  </si>
  <si>
    <t xml:space="preserve">      CTG              </t>
  </si>
  <si>
    <t xml:space="preserve">      FPT              </t>
  </si>
  <si>
    <t xml:space="preserve">      GMD              </t>
  </si>
  <si>
    <t xml:space="preserve">      HDB              </t>
  </si>
  <si>
    <t xml:space="preserve">      KDH              </t>
  </si>
  <si>
    <t xml:space="preserve">      MBB              </t>
  </si>
  <si>
    <t xml:space="preserve">      MSB              </t>
  </si>
  <si>
    <t xml:space="preserve">      MWG              </t>
  </si>
  <si>
    <t xml:space="preserve">      NLG              </t>
  </si>
  <si>
    <t xml:space="preserve">      OCB              </t>
  </si>
  <si>
    <t xml:space="preserve">      PNJ              </t>
  </si>
  <si>
    <t xml:space="preserve">      REE              </t>
  </si>
  <si>
    <t xml:space="preserve">      TCB              </t>
  </si>
  <si>
    <t xml:space="preserve">      TPB              </t>
  </si>
  <si>
    <t xml:space="preserve">      VPB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</si>
</sst>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_(* \(#,##0\);_(* &quot;-&quot;_);_(@_)"/>
    <numFmt numFmtId="165" formatCode="_-* #,##0_-;\-* #,##0_-;_-* &quot;-&quot;??_-;_-@_-"/>
    <numFmt numFmtId="166" formatCode="_-* #,##0.000000_-;\-* #,##0.000000_-;_-* &quot;-&quot;??_-;_-@_-"/>
    <numFmt numFmtId="167" formatCode="_-* #,##0.00000_-;\-* #,##0.00000_-;_-* &quot;-&quot;??_-;_-@_-"/>
  </numFmts>
  <fonts count="18"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name val="Times New Roman"/>
      <family val="1"/>
    </font>
    <font>
      <sz val="10"/>
      <name val="Arial"/>
      <family val="2"/>
    </font>
    <font>
      <sz val="10"/>
      <name val="Arial"/>
      <family val="2"/>
    </font>
    <font>
      <b/>
      <sz val="10"/>
      <color indexed="63"/>
      <name val="Tahoma"/>
      <family val="2"/>
    </font>
    <font>
      <sz val="10"/>
      <name val="Arial"/>
      <family val="2"/>
    </font>
  </fonts>
  <fills count="3">
    <fill>
      <patternFill patternType="none"/>
    </fill>
    <fill>
      <patternFill patternType="gray125"/>
    </fill>
    <fill>
      <patternFill patternType="solid">
        <fgColor indexed="22"/>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5" fillId="0" borderId="0" applyFont="0" applyFill="0" applyBorder="0" applyAlignment="0" applyProtection="0"/>
    <xf numFmtId="9" fontId="17" fillId="0" borderId="0" applyFont="0" applyFill="0" applyBorder="0" applyAlignment="0" applyProtection="0"/>
    <xf numFmtId="43" fontId="14" fillId="0" borderId="0" applyFont="0" applyFill="0" applyBorder="0" applyAlignment="0" applyProtection="0"/>
    <xf numFmtId="0" fontId="14" fillId="0" borderId="0"/>
  </cellStyleXfs>
  <cellXfs count="58">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8" fillId="0" borderId="0" xfId="0" applyFont="1" applyAlignment="1">
      <alignment horizontal="center" vertical="justify"/>
    </xf>
    <xf numFmtId="0" fontId="9" fillId="0" borderId="0" xfId="0" applyFont="1" applyAlignment="1">
      <alignment horizontal="center" vertical="justify"/>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3" fillId="0" borderId="0" xfId="0" applyFont="1" applyAlignment="1">
      <alignment horizontal="left"/>
    </xf>
    <xf numFmtId="0" fontId="10" fillId="0" borderId="1" xfId="0" applyFont="1" applyBorder="1" applyAlignment="1">
      <alignment horizontal="center" vertical="justify"/>
    </xf>
    <xf numFmtId="10" fontId="2" fillId="0" borderId="1" xfId="0" applyNumberFormat="1" applyFont="1" applyBorder="1" applyAlignment="1">
      <alignment horizontal="left"/>
    </xf>
    <xf numFmtId="10" fontId="6" fillId="0" borderId="1" xfId="0" applyNumberFormat="1" applyFont="1" applyBorder="1" applyAlignment="1">
      <alignment horizontal="left"/>
    </xf>
    <xf numFmtId="0" fontId="2" fillId="0" borderId="1" xfId="0" applyFont="1" applyBorder="1" applyAlignment="1">
      <alignment horizontal="left" wrapText="1"/>
    </xf>
    <xf numFmtId="0" fontId="12" fillId="0" borderId="1" xfId="0" applyFont="1" applyBorder="1" applyAlignment="1">
      <alignment horizontal="left"/>
    </xf>
    <xf numFmtId="2" fontId="6" fillId="0" borderId="1" xfId="0" applyNumberFormat="1" applyFont="1" applyBorder="1" applyAlignment="1">
      <alignment horizontal="left"/>
    </xf>
    <xf numFmtId="0" fontId="2" fillId="0" borderId="1" xfId="0" applyFont="1" applyBorder="1" applyAlignment="1">
      <alignment horizontal="left"/>
    </xf>
    <xf numFmtId="43" fontId="6" fillId="0" borderId="1" xfId="1" applyFont="1" applyFill="1" applyBorder="1" applyAlignment="1">
      <alignment horizontal="left"/>
    </xf>
    <xf numFmtId="0" fontId="6" fillId="0" borderId="1" xfId="0" applyFont="1" applyBorder="1" applyAlignment="1">
      <alignment horizontal="left" wrapText="1"/>
    </xf>
    <xf numFmtId="0" fontId="11" fillId="0" borderId="1" xfId="0" applyFont="1" applyBorder="1" applyAlignment="1">
      <alignment horizontal="left" wrapText="1"/>
    </xf>
    <xf numFmtId="165" fontId="6" fillId="0" borderId="1" xfId="1" applyNumberFormat="1" applyFont="1" applyFill="1" applyBorder="1" applyAlignment="1">
      <alignment horizontal="left"/>
    </xf>
    <xf numFmtId="165" fontId="4" fillId="0" borderId="1" xfId="1" quotePrefix="1" applyNumberFormat="1" applyFont="1" applyFill="1" applyBorder="1" applyAlignment="1">
      <alignment horizontal="left"/>
    </xf>
    <xf numFmtId="165" fontId="11" fillId="0" borderId="1" xfId="1" applyNumberFormat="1" applyFont="1" applyFill="1" applyBorder="1" applyAlignment="1">
      <alignment horizontal="left"/>
    </xf>
    <xf numFmtId="166" fontId="0" fillId="0" borderId="0" xfId="1" applyNumberFormat="1" applyFont="1" applyFill="1"/>
    <xf numFmtId="10" fontId="2" fillId="0" borderId="1" xfId="0" applyNumberFormat="1" applyFont="1" applyBorder="1" applyAlignment="1">
      <alignment horizontal="right"/>
    </xf>
    <xf numFmtId="10" fontId="11" fillId="0" borderId="1" xfId="0" applyNumberFormat="1" applyFont="1" applyBorder="1" applyAlignment="1">
      <alignment horizontal="right"/>
    </xf>
    <xf numFmtId="10" fontId="6" fillId="0" borderId="1" xfId="0" applyNumberFormat="1" applyFont="1" applyBorder="1" applyAlignment="1">
      <alignment horizontal="right"/>
    </xf>
    <xf numFmtId="0" fontId="10" fillId="0" borderId="1" xfId="0" applyFont="1" applyBorder="1" applyAlignment="1">
      <alignment horizontal="right" vertical="justify"/>
    </xf>
    <xf numFmtId="0" fontId="11" fillId="0" borderId="1" xfId="0" applyFont="1" applyBorder="1" applyAlignment="1">
      <alignment horizontal="right"/>
    </xf>
    <xf numFmtId="0" fontId="6" fillId="0" borderId="1" xfId="0" applyFont="1" applyBorder="1" applyAlignment="1">
      <alignment horizontal="right"/>
    </xf>
    <xf numFmtId="43" fontId="6" fillId="0" borderId="1" xfId="1" applyFont="1" applyFill="1" applyBorder="1" applyAlignment="1">
      <alignment horizontal="right"/>
    </xf>
    <xf numFmtId="1" fontId="6" fillId="0" borderId="1" xfId="0" applyNumberFormat="1" applyFont="1" applyBorder="1" applyAlignment="1">
      <alignment horizontal="right"/>
    </xf>
    <xf numFmtId="0" fontId="12" fillId="0" borderId="1" xfId="0" applyFont="1" applyBorder="1" applyAlignment="1">
      <alignment horizontal="right"/>
    </xf>
    <xf numFmtId="0" fontId="0" fillId="0" borderId="0" xfId="0" applyAlignment="1">
      <alignment horizontal="right"/>
    </xf>
    <xf numFmtId="165" fontId="4" fillId="0" borderId="1" xfId="3" applyNumberFormat="1" applyFont="1" applyFill="1" applyBorder="1" applyAlignment="1">
      <alignment horizontal="left"/>
    </xf>
    <xf numFmtId="165" fontId="2" fillId="0" borderId="1" xfId="3" applyNumberFormat="1" applyFont="1" applyFill="1" applyBorder="1" applyAlignment="1">
      <alignment horizontal="left"/>
    </xf>
    <xf numFmtId="43" fontId="2" fillId="0" borderId="1" xfId="3" applyFont="1" applyFill="1" applyBorder="1" applyAlignment="1">
      <alignment horizontal="left"/>
    </xf>
    <xf numFmtId="164" fontId="2" fillId="0" borderId="1" xfId="0" applyNumberFormat="1" applyFont="1" applyBorder="1" applyAlignment="1">
      <alignment horizontal="left"/>
    </xf>
    <xf numFmtId="165" fontId="6" fillId="0" borderId="1" xfId="1" applyNumberFormat="1" applyFont="1" applyFill="1" applyBorder="1" applyAlignment="1">
      <alignment horizontal="right"/>
    </xf>
    <xf numFmtId="10" fontId="4" fillId="0" borderId="1" xfId="0" applyNumberFormat="1" applyFont="1" applyBorder="1" applyAlignment="1">
      <alignment horizontal="left"/>
    </xf>
    <xf numFmtId="3" fontId="16" fillId="0" borderId="2" xfId="0" applyNumberFormat="1" applyFont="1" applyBorder="1" applyAlignment="1">
      <alignment horizontal="right" vertical="center" wrapText="1"/>
    </xf>
    <xf numFmtId="167" fontId="11" fillId="0" borderId="1" xfId="1" applyNumberFormat="1" applyFont="1" applyFill="1" applyBorder="1" applyAlignment="1">
      <alignment horizontal="left"/>
    </xf>
    <xf numFmtId="165" fontId="0" fillId="0" borderId="0" xfId="0" applyNumberFormat="1"/>
    <xf numFmtId="165" fontId="2" fillId="0" borderId="1" xfId="1" applyNumberFormat="1" applyFont="1" applyFill="1" applyBorder="1" applyAlignment="1">
      <alignment horizontal="left"/>
    </xf>
    <xf numFmtId="10" fontId="2" fillId="0" borderId="1" xfId="2" applyNumberFormat="1" applyFont="1" applyFill="1" applyBorder="1" applyAlignment="1">
      <alignment horizontal="right"/>
    </xf>
    <xf numFmtId="10" fontId="0" fillId="0" borderId="0" xfId="0" applyNumberFormat="1"/>
    <xf numFmtId="165" fontId="4" fillId="0" borderId="1" xfId="1" applyNumberFormat="1" applyFont="1" applyFill="1" applyBorder="1" applyAlignment="1">
      <alignment horizontal="left"/>
    </xf>
    <xf numFmtId="0" fontId="4" fillId="0" borderId="1" xfId="0" applyFont="1" applyBorder="1" applyAlignment="1">
      <alignment horizontal="left"/>
    </xf>
    <xf numFmtId="10" fontId="4" fillId="0" borderId="1" xfId="0" applyNumberFormat="1" applyFont="1" applyBorder="1" applyAlignment="1">
      <alignment horizontal="right"/>
    </xf>
    <xf numFmtId="37" fontId="4" fillId="0" borderId="1" xfId="3" applyNumberFormat="1" applyFont="1" applyFill="1" applyBorder="1" applyAlignment="1">
      <alignment horizontal="right"/>
    </xf>
    <xf numFmtId="0" fontId="1" fillId="0" borderId="0" xfId="0" applyFont="1" applyAlignment="1">
      <alignment horizontal="center" vertical="justify"/>
    </xf>
    <xf numFmtId="0" fontId="8" fillId="0" borderId="0" xfId="0" applyFont="1" applyAlignment="1">
      <alignment horizontal="center" vertical="justify"/>
    </xf>
    <xf numFmtId="0" fontId="9" fillId="0" borderId="0" xfId="0" applyFont="1" applyAlignment="1">
      <alignment horizontal="center" vertical="justify"/>
    </xf>
    <xf numFmtId="0" fontId="11" fillId="0" borderId="1" xfId="0" applyFont="1" applyBorder="1" applyAlignment="1">
      <alignment horizontal="left"/>
    </xf>
    <xf numFmtId="0" fontId="10" fillId="2" borderId="1" xfId="0" applyFont="1" applyFill="1" applyBorder="1" applyAlignment="1">
      <alignment horizontal="center" vertical="justify"/>
    </xf>
    <xf numFmtId="0" fontId="6" fillId="0" borderId="1" xfId="0" applyFont="1" applyBorder="1" applyAlignment="1">
      <alignment horizontal="left"/>
    </xf>
  </cellXfs>
  <cellStyles count="5">
    <cellStyle name="Comma" xfId="1" builtinId="3"/>
    <cellStyle name="Comma 2 2 3" xfId="3" xr:uid="{00000000-0005-0000-0000-000001000000}"/>
    <cellStyle name="Currency [0] 2" xfId="4" xr:uid="{00000000-0005-0000-0000-000002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36"/>
  <sheetViews>
    <sheetView view="pageBreakPreview" zoomScaleNormal="90" zoomScaleSheetLayoutView="100" workbookViewId="0">
      <selection activeCell="C25" sqref="C25"/>
    </sheetView>
  </sheetViews>
  <sheetFormatPr defaultRowHeight="12.75" x14ac:dyDescent="0.2"/>
  <cols>
    <col min="1" max="1" width="21" customWidth="1"/>
    <col min="2" max="2" width="7.42578125" customWidth="1"/>
    <col min="3" max="3" width="81.140625" customWidth="1"/>
    <col min="4" max="4" width="37" customWidth="1"/>
  </cols>
  <sheetData>
    <row r="1" spans="1:4" ht="28.15" customHeight="1" x14ac:dyDescent="0.2">
      <c r="A1" s="52" t="s">
        <v>0</v>
      </c>
      <c r="B1" s="52"/>
      <c r="C1" s="52"/>
      <c r="D1" s="52"/>
    </row>
    <row r="2" spans="1:4" ht="15" customHeight="1" x14ac:dyDescent="0.25">
      <c r="A2" s="1" t="s">
        <v>1</v>
      </c>
      <c r="B2" s="1" t="s">
        <v>1</v>
      </c>
      <c r="C2" s="1" t="s">
        <v>1</v>
      </c>
      <c r="D2" s="1" t="s">
        <v>1</v>
      </c>
    </row>
    <row r="3" spans="1:4" ht="15" customHeight="1" x14ac:dyDescent="0.25">
      <c r="A3" s="1" t="s">
        <v>1</v>
      </c>
      <c r="B3" s="1" t="s">
        <v>1</v>
      </c>
      <c r="C3" s="2" t="s">
        <v>2</v>
      </c>
      <c r="D3" s="11" t="s">
        <v>339</v>
      </c>
    </row>
    <row r="4" spans="1:4" ht="15" customHeight="1" x14ac:dyDescent="0.25">
      <c r="A4" s="1" t="s">
        <v>1</v>
      </c>
      <c r="B4" s="1" t="s">
        <v>1</v>
      </c>
      <c r="C4" s="2" t="s">
        <v>3</v>
      </c>
      <c r="D4" s="11">
        <v>2</v>
      </c>
    </row>
    <row r="5" spans="1:4" ht="15" customHeight="1" x14ac:dyDescent="0.25">
      <c r="A5" s="1" t="s">
        <v>1</v>
      </c>
      <c r="B5" s="1" t="s">
        <v>1</v>
      </c>
      <c r="C5" s="2" t="s">
        <v>4</v>
      </c>
      <c r="D5" s="11">
        <v>2026</v>
      </c>
    </row>
    <row r="6" spans="1:4" ht="15" customHeight="1" x14ac:dyDescent="0.25">
      <c r="A6" s="1" t="s">
        <v>1</v>
      </c>
      <c r="B6" s="1" t="s">
        <v>1</v>
      </c>
      <c r="C6" s="1" t="s">
        <v>1</v>
      </c>
      <c r="D6" s="1" t="s">
        <v>1</v>
      </c>
    </row>
    <row r="7" spans="1:4" ht="15" customHeight="1" x14ac:dyDescent="0.25">
      <c r="A7" s="1" t="s">
        <v>347</v>
      </c>
      <c r="B7" s="1"/>
      <c r="C7" s="1"/>
      <c r="D7" s="1"/>
    </row>
    <row r="8" spans="1:4" ht="15" customHeight="1" x14ac:dyDescent="0.25">
      <c r="A8" s="1" t="s">
        <v>338</v>
      </c>
      <c r="B8" s="1"/>
      <c r="C8" s="1"/>
      <c r="D8" s="1"/>
    </row>
    <row r="9" spans="1:4" ht="15" customHeight="1" x14ac:dyDescent="0.25">
      <c r="A9" s="1" t="s">
        <v>348</v>
      </c>
      <c r="B9" s="1"/>
      <c r="C9" s="1"/>
      <c r="D9" s="1" t="s">
        <v>1</v>
      </c>
    </row>
    <row r="10" spans="1:4" ht="16.149999999999999" customHeight="1" x14ac:dyDescent="0.25">
      <c r="A10" s="1" t="s">
        <v>349</v>
      </c>
      <c r="B10" s="1"/>
      <c r="C10" s="1"/>
      <c r="D10" s="1" t="s">
        <v>1</v>
      </c>
    </row>
    <row r="11" spans="1:4" ht="15" customHeight="1" x14ac:dyDescent="0.25">
      <c r="A11" s="1" t="s">
        <v>1</v>
      </c>
      <c r="B11" s="1" t="s">
        <v>1</v>
      </c>
      <c r="C11" s="1" t="s">
        <v>1</v>
      </c>
      <c r="D11" s="1" t="s">
        <v>5</v>
      </c>
    </row>
    <row r="12" spans="1:4" ht="15" customHeight="1" x14ac:dyDescent="0.25">
      <c r="A12" s="1" t="s">
        <v>1</v>
      </c>
      <c r="B12" s="3" t="s">
        <v>6</v>
      </c>
      <c r="C12" s="3" t="s">
        <v>7</v>
      </c>
      <c r="D12" s="3" t="s">
        <v>8</v>
      </c>
    </row>
    <row r="13" spans="1:4" ht="15" customHeight="1" x14ac:dyDescent="0.25">
      <c r="A13" s="1" t="s">
        <v>1</v>
      </c>
      <c r="B13" s="4" t="s">
        <v>9</v>
      </c>
      <c r="C13" s="5" t="s">
        <v>10</v>
      </c>
      <c r="D13" s="5" t="s">
        <v>11</v>
      </c>
    </row>
    <row r="14" spans="1:4" ht="15" customHeight="1" x14ac:dyDescent="0.25">
      <c r="A14" s="1" t="s">
        <v>1</v>
      </c>
      <c r="B14" s="4" t="s">
        <v>12</v>
      </c>
      <c r="C14" s="5" t="s">
        <v>13</v>
      </c>
      <c r="D14" s="5" t="s">
        <v>14</v>
      </c>
    </row>
    <row r="15" spans="1:4" ht="15" customHeight="1" x14ac:dyDescent="0.25">
      <c r="A15" s="1" t="s">
        <v>1</v>
      </c>
      <c r="B15" s="4" t="s">
        <v>15</v>
      </c>
      <c r="C15" s="5" t="s">
        <v>16</v>
      </c>
      <c r="D15" s="5" t="s">
        <v>17</v>
      </c>
    </row>
    <row r="16" spans="1:4" ht="15" customHeight="1" x14ac:dyDescent="0.25">
      <c r="A16" s="1"/>
      <c r="B16" s="4" t="s">
        <v>18</v>
      </c>
      <c r="C16" s="5" t="s">
        <v>19</v>
      </c>
      <c r="D16" s="18" t="s">
        <v>20</v>
      </c>
    </row>
    <row r="17" spans="1:4" ht="15" customHeight="1" x14ac:dyDescent="0.25">
      <c r="A17" s="1"/>
      <c r="B17" s="4" t="s">
        <v>21</v>
      </c>
      <c r="C17" s="5" t="s">
        <v>22</v>
      </c>
      <c r="D17" s="5" t="s">
        <v>23</v>
      </c>
    </row>
    <row r="18" spans="1:4" ht="15" customHeight="1" x14ac:dyDescent="0.25">
      <c r="A18" s="1"/>
      <c r="B18" s="4" t="s">
        <v>24</v>
      </c>
      <c r="C18" s="5" t="s">
        <v>25</v>
      </c>
      <c r="D18" s="5" t="s">
        <v>26</v>
      </c>
    </row>
    <row r="19" spans="1:4" ht="15" customHeight="1" x14ac:dyDescent="0.25">
      <c r="A19" s="1"/>
      <c r="B19" s="4" t="s">
        <v>27</v>
      </c>
      <c r="C19" s="5" t="s">
        <v>28</v>
      </c>
      <c r="D19" s="5" t="s">
        <v>29</v>
      </c>
    </row>
    <row r="20" spans="1:4" ht="15" customHeight="1" x14ac:dyDescent="0.25">
      <c r="A20" s="1"/>
      <c r="B20" s="4" t="s">
        <v>30</v>
      </c>
      <c r="C20" s="5" t="s">
        <v>31</v>
      </c>
      <c r="D20" s="5" t="s">
        <v>32</v>
      </c>
    </row>
    <row r="21" spans="1:4" ht="15" customHeight="1" x14ac:dyDescent="0.25">
      <c r="A21" s="1"/>
      <c r="B21" s="4" t="s">
        <v>33</v>
      </c>
      <c r="C21" s="5" t="s">
        <v>34</v>
      </c>
      <c r="D21" s="5" t="s">
        <v>35</v>
      </c>
    </row>
    <row r="22" spans="1:4" ht="15" customHeight="1" x14ac:dyDescent="0.25">
      <c r="A22" s="1"/>
      <c r="B22" s="4" t="s">
        <v>36</v>
      </c>
      <c r="C22" s="5" t="s">
        <v>37</v>
      </c>
      <c r="D22" s="5" t="s">
        <v>38</v>
      </c>
    </row>
    <row r="23" spans="1:4" ht="15" customHeight="1" x14ac:dyDescent="0.25">
      <c r="A23" s="1"/>
      <c r="B23" s="4" t="s">
        <v>39</v>
      </c>
      <c r="C23" s="5" t="s">
        <v>40</v>
      </c>
      <c r="D23" s="5" t="s">
        <v>41</v>
      </c>
    </row>
    <row r="24" spans="1:4" ht="15" customHeight="1" x14ac:dyDescent="0.25">
      <c r="A24" s="1"/>
      <c r="B24" s="4" t="s">
        <v>42</v>
      </c>
      <c r="C24" s="5" t="s">
        <v>43</v>
      </c>
      <c r="D24" s="5" t="s">
        <v>44</v>
      </c>
    </row>
    <row r="25" spans="1:4" ht="15" customHeight="1" x14ac:dyDescent="0.25">
      <c r="A25" s="1"/>
      <c r="B25" s="4" t="s">
        <v>45</v>
      </c>
      <c r="C25" s="5" t="s">
        <v>46</v>
      </c>
      <c r="D25" s="5" t="s">
        <v>47</v>
      </c>
    </row>
    <row r="26" spans="1:4" ht="15" customHeight="1" x14ac:dyDescent="0.25">
      <c r="A26" s="1" t="s">
        <v>1</v>
      </c>
      <c r="B26" s="6" t="s">
        <v>48</v>
      </c>
      <c r="C26" s="1" t="s">
        <v>49</v>
      </c>
      <c r="D26" s="1" t="s">
        <v>1</v>
      </c>
    </row>
    <row r="27" spans="1:4" ht="15" customHeight="1" x14ac:dyDescent="0.25">
      <c r="A27" s="1" t="s">
        <v>1</v>
      </c>
      <c r="B27" s="1" t="s">
        <v>1</v>
      </c>
      <c r="C27" s="1" t="s">
        <v>50</v>
      </c>
      <c r="D27" s="1"/>
    </row>
    <row r="28" spans="1:4" ht="15" customHeight="1" x14ac:dyDescent="0.25">
      <c r="A28" s="1" t="s">
        <v>1</v>
      </c>
      <c r="B28" s="1" t="s">
        <v>1</v>
      </c>
      <c r="C28" s="1" t="s">
        <v>51</v>
      </c>
      <c r="D28" s="1" t="s">
        <v>1</v>
      </c>
    </row>
    <row r="29" spans="1:4" ht="15" customHeight="1" x14ac:dyDescent="0.25">
      <c r="A29" s="1" t="s">
        <v>1</v>
      </c>
      <c r="B29" s="1" t="s">
        <v>1</v>
      </c>
      <c r="C29" s="1" t="s">
        <v>1</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15" customHeight="1" x14ac:dyDescent="0.2">
      <c r="A33" s="53" t="s">
        <v>52</v>
      </c>
      <c r="B33" s="53"/>
      <c r="C33" s="53"/>
      <c r="D33" s="7" t="s">
        <v>53</v>
      </c>
    </row>
    <row r="34" spans="1:4" ht="15" customHeight="1" x14ac:dyDescent="0.2">
      <c r="A34" s="54" t="s">
        <v>54</v>
      </c>
      <c r="B34" s="54"/>
      <c r="C34" s="54"/>
      <c r="D34" s="8" t="s">
        <v>54</v>
      </c>
    </row>
    <row r="35" spans="1:4" ht="15" customHeight="1" x14ac:dyDescent="0.25">
      <c r="A35" s="1"/>
      <c r="B35" s="1"/>
      <c r="C35" s="1" t="s">
        <v>1</v>
      </c>
      <c r="D35" s="1"/>
    </row>
    <row r="36" spans="1:4" ht="15" customHeight="1" x14ac:dyDescent="0.25">
      <c r="A36" s="1" t="s">
        <v>1</v>
      </c>
      <c r="B36" s="1" t="s">
        <v>1</v>
      </c>
      <c r="C36" s="1" t="s">
        <v>1</v>
      </c>
      <c r="D36" s="1" t="s">
        <v>1</v>
      </c>
    </row>
  </sheetData>
  <mergeCells count="3">
    <mergeCell ref="A1:D1"/>
    <mergeCell ref="A33:C33"/>
    <mergeCell ref="A34:C34"/>
  </mergeCells>
  <pageMargins left="0.75" right="0.75" top="1" bottom="1" header="0.5" footer="0.5"/>
  <pageSetup scale="58"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G25"/>
  <sheetViews>
    <sheetView workbookViewId="0">
      <selection sqref="A1:A2"/>
    </sheetView>
  </sheetViews>
  <sheetFormatPr defaultRowHeight="12.75" x14ac:dyDescent="0.2"/>
  <cols>
    <col min="1" max="1" width="6.85546875" customWidth="1"/>
    <col min="2" max="2" width="45.28515625" customWidth="1"/>
    <col min="3" max="6" width="10.28515625" customWidth="1"/>
    <col min="7" max="7" width="16.28515625" customWidth="1"/>
  </cols>
  <sheetData>
    <row r="1" spans="1:7" ht="15" customHeight="1" x14ac:dyDescent="0.2">
      <c r="A1" s="56" t="s">
        <v>6</v>
      </c>
      <c r="B1" s="56" t="s">
        <v>314</v>
      </c>
      <c r="C1" s="56" t="s">
        <v>58</v>
      </c>
      <c r="D1" s="56"/>
      <c r="E1" s="56" t="s">
        <v>59</v>
      </c>
      <c r="F1" s="56"/>
      <c r="G1" s="56" t="s">
        <v>60</v>
      </c>
    </row>
    <row r="2" spans="1:7" ht="15" customHeight="1" x14ac:dyDescent="0.2">
      <c r="A2" s="56"/>
      <c r="B2" s="56"/>
      <c r="C2" s="9" t="s">
        <v>307</v>
      </c>
      <c r="D2" s="9" t="s">
        <v>315</v>
      </c>
      <c r="E2" s="9" t="s">
        <v>307</v>
      </c>
      <c r="F2" s="9" t="s">
        <v>315</v>
      </c>
      <c r="G2" s="56"/>
    </row>
    <row r="3" spans="1:7" ht="15" customHeight="1" x14ac:dyDescent="0.25">
      <c r="A3" s="10" t="s">
        <v>64</v>
      </c>
      <c r="B3" s="10" t="s">
        <v>65</v>
      </c>
      <c r="C3" s="10" t="s">
        <v>1</v>
      </c>
      <c r="D3" s="10" t="s">
        <v>1</v>
      </c>
      <c r="E3" s="10" t="s">
        <v>1</v>
      </c>
      <c r="F3" s="10" t="s">
        <v>1</v>
      </c>
      <c r="G3" s="10" t="s">
        <v>1</v>
      </c>
    </row>
    <row r="4" spans="1:7" ht="15" customHeight="1" x14ac:dyDescent="0.25">
      <c r="A4" s="5" t="s">
        <v>1</v>
      </c>
      <c r="B4" s="5" t="s">
        <v>200</v>
      </c>
      <c r="C4" s="5" t="s">
        <v>1</v>
      </c>
      <c r="D4" s="5" t="s">
        <v>1</v>
      </c>
      <c r="E4" s="5" t="s">
        <v>1</v>
      </c>
      <c r="F4" s="5" t="s">
        <v>1</v>
      </c>
      <c r="G4" s="5" t="s">
        <v>1</v>
      </c>
    </row>
    <row r="5" spans="1:7" ht="15" customHeight="1" x14ac:dyDescent="0.25">
      <c r="A5" s="5" t="s">
        <v>1</v>
      </c>
      <c r="B5" s="5" t="s">
        <v>70</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10" t="s">
        <v>72</v>
      </c>
      <c r="B7" s="10" t="s">
        <v>73</v>
      </c>
      <c r="C7" s="10" t="s">
        <v>1</v>
      </c>
      <c r="D7" s="10" t="s">
        <v>1</v>
      </c>
      <c r="E7" s="10" t="s">
        <v>1</v>
      </c>
      <c r="F7" s="10" t="s">
        <v>1</v>
      </c>
      <c r="G7" s="10" t="s">
        <v>1</v>
      </c>
    </row>
    <row r="8" spans="1:7" ht="15" customHeight="1" x14ac:dyDescent="0.25">
      <c r="A8" s="5" t="s">
        <v>69</v>
      </c>
      <c r="B8" s="5" t="s">
        <v>69</v>
      </c>
      <c r="C8" s="5" t="s">
        <v>69</v>
      </c>
      <c r="D8" s="5" t="s">
        <v>69</v>
      </c>
      <c r="E8" s="5" t="s">
        <v>69</v>
      </c>
      <c r="F8" s="5" t="s">
        <v>69</v>
      </c>
      <c r="G8" s="5" t="s">
        <v>69</v>
      </c>
    </row>
    <row r="9" spans="1:7" ht="15" customHeight="1" x14ac:dyDescent="0.25">
      <c r="A9" s="10" t="s">
        <v>75</v>
      </c>
      <c r="B9" s="10" t="s">
        <v>79</v>
      </c>
      <c r="C9" s="10" t="s">
        <v>1</v>
      </c>
      <c r="D9" s="10" t="s">
        <v>1</v>
      </c>
      <c r="E9" s="10" t="s">
        <v>1</v>
      </c>
      <c r="F9" s="10" t="s">
        <v>1</v>
      </c>
      <c r="G9" s="10" t="s">
        <v>1</v>
      </c>
    </row>
    <row r="10" spans="1:7" ht="15" customHeight="1" x14ac:dyDescent="0.25">
      <c r="A10" s="5" t="s">
        <v>69</v>
      </c>
      <c r="B10" s="5" t="s">
        <v>69</v>
      </c>
      <c r="C10" s="5" t="s">
        <v>69</v>
      </c>
      <c r="D10" s="5" t="s">
        <v>69</v>
      </c>
      <c r="E10" s="5" t="s">
        <v>69</v>
      </c>
      <c r="F10" s="5" t="s">
        <v>69</v>
      </c>
      <c r="G10" s="5" t="s">
        <v>69</v>
      </c>
    </row>
    <row r="11" spans="1:7" ht="15" customHeight="1" x14ac:dyDescent="0.25">
      <c r="A11" s="10" t="s">
        <v>78</v>
      </c>
      <c r="B11" s="10" t="s">
        <v>82</v>
      </c>
      <c r="C11" s="10" t="s">
        <v>1</v>
      </c>
      <c r="D11" s="10" t="s">
        <v>1</v>
      </c>
      <c r="E11" s="10" t="s">
        <v>1</v>
      </c>
      <c r="F11" s="10" t="s">
        <v>1</v>
      </c>
      <c r="G11" s="10" t="s">
        <v>1</v>
      </c>
    </row>
    <row r="12" spans="1:7" ht="15" customHeight="1" x14ac:dyDescent="0.25">
      <c r="A12" s="5" t="s">
        <v>69</v>
      </c>
      <c r="B12" s="5" t="s">
        <v>69</v>
      </c>
      <c r="C12" s="5" t="s">
        <v>69</v>
      </c>
      <c r="D12" s="5" t="s">
        <v>69</v>
      </c>
      <c r="E12" s="5" t="s">
        <v>69</v>
      </c>
      <c r="F12" s="5" t="s">
        <v>69</v>
      </c>
      <c r="G12" s="5" t="s">
        <v>69</v>
      </c>
    </row>
    <row r="13" spans="1:7" ht="15" customHeight="1" x14ac:dyDescent="0.25">
      <c r="A13" s="10" t="s">
        <v>81</v>
      </c>
      <c r="B13" s="10" t="s">
        <v>317</v>
      </c>
      <c r="C13" s="10" t="s">
        <v>1</v>
      </c>
      <c r="D13" s="10" t="s">
        <v>1</v>
      </c>
      <c r="E13" s="10" t="s">
        <v>1</v>
      </c>
      <c r="F13" s="10" t="s">
        <v>1</v>
      </c>
      <c r="G13" s="10" t="s">
        <v>1</v>
      </c>
    </row>
    <row r="14" spans="1:7" ht="15" customHeight="1" x14ac:dyDescent="0.25">
      <c r="A14" s="5" t="s">
        <v>69</v>
      </c>
      <c r="B14" s="5" t="s">
        <v>69</v>
      </c>
      <c r="C14" s="5" t="s">
        <v>69</v>
      </c>
      <c r="D14" s="5" t="s">
        <v>69</v>
      </c>
      <c r="E14" s="5" t="s">
        <v>69</v>
      </c>
      <c r="F14" s="5" t="s">
        <v>69</v>
      </c>
      <c r="G14" s="5" t="s">
        <v>69</v>
      </c>
    </row>
    <row r="15" spans="1:7" ht="15" customHeight="1" x14ac:dyDescent="0.25">
      <c r="A15" s="10" t="s">
        <v>84</v>
      </c>
      <c r="B15" s="10" t="s">
        <v>91</v>
      </c>
      <c r="C15" s="10" t="s">
        <v>1</v>
      </c>
      <c r="D15" s="10" t="s">
        <v>1</v>
      </c>
      <c r="E15" s="10" t="s">
        <v>1</v>
      </c>
      <c r="F15" s="10" t="s">
        <v>1</v>
      </c>
      <c r="G15" s="10" t="s">
        <v>1</v>
      </c>
    </row>
    <row r="16" spans="1:7" ht="15" customHeight="1" x14ac:dyDescent="0.25">
      <c r="A16" s="5" t="s">
        <v>69</v>
      </c>
      <c r="B16" s="5" t="s">
        <v>69</v>
      </c>
      <c r="C16" s="5" t="s">
        <v>69</v>
      </c>
      <c r="D16" s="5" t="s">
        <v>69</v>
      </c>
      <c r="E16" s="5" t="s">
        <v>69</v>
      </c>
      <c r="F16" s="5" t="s">
        <v>69</v>
      </c>
      <c r="G16" s="5" t="s">
        <v>69</v>
      </c>
    </row>
    <row r="17" spans="1:7" ht="15" customHeight="1" x14ac:dyDescent="0.25">
      <c r="A17" s="10" t="s">
        <v>87</v>
      </c>
      <c r="B17" s="10" t="s">
        <v>94</v>
      </c>
      <c r="C17" s="10" t="s">
        <v>1</v>
      </c>
      <c r="D17" s="10" t="s">
        <v>1</v>
      </c>
      <c r="E17" s="10" t="s">
        <v>1</v>
      </c>
      <c r="F17" s="10" t="s">
        <v>1</v>
      </c>
      <c r="G17" s="10" t="s">
        <v>1</v>
      </c>
    </row>
    <row r="18" spans="1:7" ht="15" customHeight="1" x14ac:dyDescent="0.25">
      <c r="A18" s="5" t="s">
        <v>69</v>
      </c>
      <c r="B18" s="5" t="s">
        <v>69</v>
      </c>
      <c r="C18" s="5" t="s">
        <v>69</v>
      </c>
      <c r="D18" s="5" t="s">
        <v>69</v>
      </c>
      <c r="E18" s="5" t="s">
        <v>69</v>
      </c>
      <c r="F18" s="5" t="s">
        <v>69</v>
      </c>
      <c r="G18" s="5" t="s">
        <v>69</v>
      </c>
    </row>
    <row r="19" spans="1:7" ht="15" customHeight="1" x14ac:dyDescent="0.25">
      <c r="A19" s="10" t="s">
        <v>90</v>
      </c>
      <c r="B19" s="10" t="s">
        <v>318</v>
      </c>
      <c r="C19" s="10" t="s">
        <v>1</v>
      </c>
      <c r="D19" s="10" t="s">
        <v>1</v>
      </c>
      <c r="E19" s="10" t="s">
        <v>1</v>
      </c>
      <c r="F19" s="10" t="s">
        <v>1</v>
      </c>
      <c r="G19" s="10" t="s">
        <v>1</v>
      </c>
    </row>
    <row r="20" spans="1:7" ht="15" customHeight="1" x14ac:dyDescent="0.25">
      <c r="A20" s="10" t="s">
        <v>1</v>
      </c>
      <c r="B20" s="10" t="s">
        <v>100</v>
      </c>
      <c r="C20" s="10" t="s">
        <v>1</v>
      </c>
      <c r="D20" s="10" t="s">
        <v>1</v>
      </c>
      <c r="E20" s="10" t="s">
        <v>1</v>
      </c>
      <c r="F20" s="10" t="s">
        <v>1</v>
      </c>
      <c r="G20" s="10" t="s">
        <v>1</v>
      </c>
    </row>
    <row r="21" spans="1:7" ht="15" customHeight="1" x14ac:dyDescent="0.25">
      <c r="A21" s="10" t="s">
        <v>102</v>
      </c>
      <c r="B21" s="10" t="s">
        <v>106</v>
      </c>
      <c r="C21" s="10" t="s">
        <v>1</v>
      </c>
      <c r="D21" s="10" t="s">
        <v>1</v>
      </c>
      <c r="E21" s="10" t="s">
        <v>1</v>
      </c>
      <c r="F21" s="10" t="s">
        <v>1</v>
      </c>
      <c r="G21" s="10" t="s">
        <v>1</v>
      </c>
    </row>
    <row r="22" spans="1:7" ht="15" customHeight="1" x14ac:dyDescent="0.25">
      <c r="A22" s="5" t="s">
        <v>69</v>
      </c>
      <c r="B22" s="5" t="s">
        <v>69</v>
      </c>
      <c r="C22" s="5" t="s">
        <v>69</v>
      </c>
      <c r="D22" s="5" t="s">
        <v>69</v>
      </c>
      <c r="E22" s="5" t="s">
        <v>69</v>
      </c>
      <c r="F22" s="5" t="s">
        <v>69</v>
      </c>
      <c r="G22" s="5" t="s">
        <v>69</v>
      </c>
    </row>
    <row r="23" spans="1:7" ht="15" customHeight="1" x14ac:dyDescent="0.25">
      <c r="A23" s="10" t="s">
        <v>105</v>
      </c>
      <c r="B23" s="10" t="s">
        <v>109</v>
      </c>
      <c r="C23" s="10" t="s">
        <v>1</v>
      </c>
      <c r="D23" s="10" t="s">
        <v>1</v>
      </c>
      <c r="E23" s="10" t="s">
        <v>1</v>
      </c>
      <c r="F23" s="10" t="s">
        <v>1</v>
      </c>
      <c r="G23" s="10" t="s">
        <v>1</v>
      </c>
    </row>
    <row r="24" spans="1:7" ht="15" customHeight="1" x14ac:dyDescent="0.25">
      <c r="A24" s="5" t="s">
        <v>69</v>
      </c>
      <c r="B24" s="5" t="s">
        <v>69</v>
      </c>
      <c r="C24" s="5" t="s">
        <v>69</v>
      </c>
      <c r="D24" s="5" t="s">
        <v>69</v>
      </c>
      <c r="E24" s="5" t="s">
        <v>69</v>
      </c>
      <c r="F24" s="5" t="s">
        <v>69</v>
      </c>
      <c r="G24" s="5" t="s">
        <v>69</v>
      </c>
    </row>
    <row r="25" spans="1:7" ht="15" customHeight="1" x14ac:dyDescent="0.25">
      <c r="A25" s="10" t="s">
        <v>108</v>
      </c>
      <c r="B25" s="10" t="s">
        <v>319</v>
      </c>
      <c r="C25" s="10" t="s">
        <v>1</v>
      </c>
      <c r="D25" s="10" t="s">
        <v>1</v>
      </c>
      <c r="E25" s="10" t="s">
        <v>1</v>
      </c>
      <c r="F25" s="10" t="s">
        <v>1</v>
      </c>
      <c r="G25" s="10" t="s">
        <v>1</v>
      </c>
    </row>
  </sheetData>
  <mergeCells count="5">
    <mergeCell ref="E1:F1"/>
    <mergeCell ref="C1:D1"/>
    <mergeCell ref="B1:B2"/>
    <mergeCell ref="G1:G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4.140625" customWidth="1"/>
    <col min="3" max="6" width="11.7109375" customWidth="1"/>
    <col min="7" max="7" width="14.28515625" customWidth="1"/>
  </cols>
  <sheetData>
    <row r="1" spans="1:7" ht="15" customHeight="1" x14ac:dyDescent="0.2">
      <c r="A1" s="56" t="s">
        <v>6</v>
      </c>
      <c r="B1" s="56" t="s">
        <v>56</v>
      </c>
      <c r="C1" s="56" t="s">
        <v>58</v>
      </c>
      <c r="D1" s="56"/>
      <c r="E1" s="56" t="s">
        <v>59</v>
      </c>
      <c r="F1" s="56"/>
      <c r="G1" s="56" t="s">
        <v>123</v>
      </c>
    </row>
    <row r="2" spans="1:7" ht="15" customHeight="1" x14ac:dyDescent="0.2">
      <c r="A2" s="56"/>
      <c r="B2" s="56"/>
      <c r="C2" s="9" t="s">
        <v>307</v>
      </c>
      <c r="D2" s="9" t="s">
        <v>315</v>
      </c>
      <c r="E2" s="9" t="s">
        <v>307</v>
      </c>
      <c r="F2" s="9" t="s">
        <v>315</v>
      </c>
      <c r="G2" s="56"/>
    </row>
    <row r="3" spans="1:7" ht="15" customHeight="1" x14ac:dyDescent="0.25">
      <c r="A3" s="10" t="s">
        <v>61</v>
      </c>
      <c r="B3" s="10" t="s">
        <v>320</v>
      </c>
      <c r="C3" s="10" t="s">
        <v>1</v>
      </c>
      <c r="D3" s="10" t="s">
        <v>1</v>
      </c>
      <c r="E3" s="10" t="s">
        <v>1</v>
      </c>
      <c r="F3" s="10" t="s">
        <v>1</v>
      </c>
      <c r="G3" s="10" t="s">
        <v>1</v>
      </c>
    </row>
    <row r="4" spans="1:7" ht="15" customHeight="1" x14ac:dyDescent="0.25">
      <c r="A4" s="5" t="s">
        <v>1</v>
      </c>
      <c r="B4" s="5" t="s">
        <v>79</v>
      </c>
      <c r="C4" s="5" t="s">
        <v>1</v>
      </c>
      <c r="D4" s="5" t="s">
        <v>1</v>
      </c>
      <c r="E4" s="5" t="s">
        <v>1</v>
      </c>
      <c r="F4" s="5" t="s">
        <v>1</v>
      </c>
      <c r="G4" s="5" t="s">
        <v>1</v>
      </c>
    </row>
    <row r="5" spans="1:7" ht="15" customHeight="1" x14ac:dyDescent="0.25">
      <c r="A5" s="5" t="s">
        <v>1</v>
      </c>
      <c r="B5" s="5" t="s">
        <v>82</v>
      </c>
      <c r="C5" s="5" t="s">
        <v>1</v>
      </c>
      <c r="D5" s="5" t="s">
        <v>1</v>
      </c>
      <c r="E5" s="5" t="s">
        <v>1</v>
      </c>
      <c r="F5" s="5" t="s">
        <v>1</v>
      </c>
      <c r="G5" s="5" t="s">
        <v>1</v>
      </c>
    </row>
    <row r="6" spans="1:7" ht="15" customHeight="1" x14ac:dyDescent="0.25">
      <c r="A6" s="5" t="s">
        <v>1</v>
      </c>
      <c r="B6" s="5" t="s">
        <v>321</v>
      </c>
      <c r="C6" s="5" t="s">
        <v>1</v>
      </c>
      <c r="D6" s="5" t="s">
        <v>1</v>
      </c>
      <c r="E6" s="5" t="s">
        <v>1</v>
      </c>
      <c r="F6" s="5" t="s">
        <v>1</v>
      </c>
      <c r="G6" s="5" t="s">
        <v>1</v>
      </c>
    </row>
    <row r="7" spans="1:7" ht="15" customHeight="1" x14ac:dyDescent="0.25">
      <c r="A7" s="5" t="s">
        <v>69</v>
      </c>
      <c r="B7" s="5" t="s">
        <v>69</v>
      </c>
      <c r="C7" s="5" t="s">
        <v>69</v>
      </c>
      <c r="D7" s="5" t="s">
        <v>69</v>
      </c>
      <c r="E7" s="5" t="s">
        <v>69</v>
      </c>
      <c r="F7" s="5" t="s">
        <v>69</v>
      </c>
      <c r="G7" s="5" t="s">
        <v>69</v>
      </c>
    </row>
    <row r="8" spans="1:7" ht="15" customHeight="1" x14ac:dyDescent="0.25">
      <c r="A8" s="10" t="s">
        <v>99</v>
      </c>
      <c r="B8" s="10" t="s">
        <v>322</v>
      </c>
      <c r="C8" s="10" t="s">
        <v>1</v>
      </c>
      <c r="D8" s="10" t="s">
        <v>1</v>
      </c>
      <c r="E8" s="10" t="s">
        <v>1</v>
      </c>
      <c r="F8" s="10" t="s">
        <v>1</v>
      </c>
      <c r="G8" s="10" t="s">
        <v>1</v>
      </c>
    </row>
    <row r="9" spans="1:7" ht="15" customHeight="1" x14ac:dyDescent="0.25">
      <c r="A9" s="5" t="s">
        <v>1</v>
      </c>
      <c r="B9" s="5" t="s">
        <v>323</v>
      </c>
      <c r="C9" s="5" t="s">
        <v>1</v>
      </c>
      <c r="D9" s="5" t="s">
        <v>1</v>
      </c>
      <c r="E9" s="5" t="s">
        <v>1</v>
      </c>
      <c r="F9" s="5" t="s">
        <v>1</v>
      </c>
      <c r="G9" s="5" t="s">
        <v>1</v>
      </c>
    </row>
    <row r="10" spans="1:7" ht="15" customHeight="1" x14ac:dyDescent="0.25">
      <c r="A10" s="5" t="s">
        <v>69</v>
      </c>
      <c r="B10" s="5" t="s">
        <v>69</v>
      </c>
      <c r="C10" s="5" t="s">
        <v>69</v>
      </c>
      <c r="D10" s="5" t="s">
        <v>69</v>
      </c>
      <c r="E10" s="5" t="s">
        <v>69</v>
      </c>
      <c r="F10" s="5" t="s">
        <v>69</v>
      </c>
      <c r="G10" s="5" t="s">
        <v>69</v>
      </c>
    </row>
    <row r="11" spans="1:7" ht="15" customHeight="1" x14ac:dyDescent="0.25">
      <c r="A11" s="5" t="s">
        <v>1</v>
      </c>
      <c r="B11" s="5" t="s">
        <v>324</v>
      </c>
      <c r="C11" s="5" t="s">
        <v>1</v>
      </c>
      <c r="D11" s="5" t="s">
        <v>1</v>
      </c>
      <c r="E11" s="5" t="s">
        <v>1</v>
      </c>
      <c r="F11" s="5" t="s">
        <v>1</v>
      </c>
      <c r="G11" s="5" t="s">
        <v>1</v>
      </c>
    </row>
    <row r="12" spans="1:7" ht="15" customHeight="1" x14ac:dyDescent="0.25">
      <c r="A12" s="5" t="s">
        <v>69</v>
      </c>
      <c r="B12" s="5" t="s">
        <v>69</v>
      </c>
      <c r="C12" s="5" t="s">
        <v>69</v>
      </c>
      <c r="D12" s="5" t="s">
        <v>69</v>
      </c>
      <c r="E12" s="5" t="s">
        <v>69</v>
      </c>
      <c r="F12" s="5" t="s">
        <v>69</v>
      </c>
      <c r="G12" s="5" t="s">
        <v>69</v>
      </c>
    </row>
    <row r="13" spans="1:7" ht="15" customHeight="1" x14ac:dyDescent="0.25">
      <c r="A13" s="10" t="s">
        <v>114</v>
      </c>
      <c r="B13" s="10" t="s">
        <v>325</v>
      </c>
      <c r="C13" s="10" t="s">
        <v>1</v>
      </c>
      <c r="D13" s="10" t="s">
        <v>1</v>
      </c>
      <c r="E13" s="10" t="s">
        <v>1</v>
      </c>
      <c r="F13" s="10" t="s">
        <v>1</v>
      </c>
      <c r="G13" s="10" t="s">
        <v>1</v>
      </c>
    </row>
    <row r="14" spans="1:7" ht="15" customHeight="1" x14ac:dyDescent="0.25">
      <c r="A14" s="10" t="s">
        <v>117</v>
      </c>
      <c r="B14" s="10" t="s">
        <v>326</v>
      </c>
      <c r="C14" s="10" t="s">
        <v>1</v>
      </c>
      <c r="D14" s="10" t="s">
        <v>1</v>
      </c>
      <c r="E14" s="10" t="s">
        <v>1</v>
      </c>
      <c r="F14" s="10" t="s">
        <v>1</v>
      </c>
      <c r="G14" s="10" t="s">
        <v>1</v>
      </c>
    </row>
    <row r="15" spans="1:7" ht="15" customHeight="1" x14ac:dyDescent="0.25">
      <c r="A15" s="5" t="s">
        <v>1</v>
      </c>
      <c r="B15" s="5" t="s">
        <v>327</v>
      </c>
      <c r="C15" s="5" t="s">
        <v>1</v>
      </c>
      <c r="D15" s="5" t="s">
        <v>1</v>
      </c>
      <c r="E15" s="5" t="s">
        <v>1</v>
      </c>
      <c r="F15" s="5" t="s">
        <v>1</v>
      </c>
      <c r="G15" s="5" t="s">
        <v>1</v>
      </c>
    </row>
    <row r="16" spans="1:7" ht="15" customHeight="1" x14ac:dyDescent="0.25">
      <c r="A16" s="5" t="s">
        <v>1</v>
      </c>
      <c r="B16" s="5" t="s">
        <v>158</v>
      </c>
      <c r="C16" s="5" t="s">
        <v>1</v>
      </c>
      <c r="D16" s="5" t="s">
        <v>1</v>
      </c>
      <c r="E16" s="5" t="s">
        <v>1</v>
      </c>
      <c r="F16" s="5" t="s">
        <v>1</v>
      </c>
      <c r="G16" s="5" t="s">
        <v>1</v>
      </c>
    </row>
  </sheetData>
  <mergeCells count="5">
    <mergeCell ref="G1:G2"/>
    <mergeCell ref="C1:D1"/>
    <mergeCell ref="E1:F1"/>
    <mergeCell ref="B1:B2"/>
    <mergeCell ref="A1:A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19.85546875" customWidth="1"/>
    <col min="3" max="3" width="15.7109375" customWidth="1"/>
    <col min="4" max="7" width="12" customWidth="1"/>
    <col min="8" max="8" width="16.140625" customWidth="1"/>
  </cols>
  <sheetData>
    <row r="1" spans="1:8" ht="15" customHeight="1" x14ac:dyDescent="0.2">
      <c r="A1" s="56" t="s">
        <v>6</v>
      </c>
      <c r="B1" s="56" t="s">
        <v>328</v>
      </c>
      <c r="C1" s="56" t="s">
        <v>183</v>
      </c>
      <c r="D1" s="56" t="s">
        <v>329</v>
      </c>
      <c r="E1" s="56"/>
      <c r="F1" s="56" t="s">
        <v>185</v>
      </c>
      <c r="G1" s="56"/>
      <c r="H1" s="56" t="s">
        <v>330</v>
      </c>
    </row>
    <row r="2" spans="1:8" ht="15" customHeight="1" x14ac:dyDescent="0.2">
      <c r="A2" s="56"/>
      <c r="B2" s="56"/>
      <c r="C2" s="56"/>
      <c r="D2" s="9" t="s">
        <v>307</v>
      </c>
      <c r="E2" s="9" t="s">
        <v>315</v>
      </c>
      <c r="F2" s="9" t="s">
        <v>307</v>
      </c>
      <c r="G2" s="9" t="s">
        <v>315</v>
      </c>
      <c r="H2" s="56"/>
    </row>
    <row r="3" spans="1:8" ht="15" customHeight="1" x14ac:dyDescent="0.25">
      <c r="A3" s="10" t="s">
        <v>61</v>
      </c>
      <c r="B3" s="10" t="s">
        <v>331</v>
      </c>
      <c r="C3" s="10" t="s">
        <v>1</v>
      </c>
      <c r="D3" s="10" t="s">
        <v>1</v>
      </c>
      <c r="E3" s="10" t="s">
        <v>1</v>
      </c>
      <c r="F3" s="10" t="s">
        <v>1</v>
      </c>
      <c r="G3" s="10" t="s">
        <v>1</v>
      </c>
      <c r="H3" s="10" t="s">
        <v>1</v>
      </c>
    </row>
    <row r="4" spans="1:8" ht="15" customHeight="1" x14ac:dyDescent="0.25">
      <c r="A4" s="5" t="s">
        <v>69</v>
      </c>
      <c r="B4" s="5" t="s">
        <v>69</v>
      </c>
      <c r="C4" s="5" t="s">
        <v>69</v>
      </c>
      <c r="D4" s="5" t="s">
        <v>69</v>
      </c>
      <c r="E4" s="5" t="s">
        <v>69</v>
      </c>
      <c r="F4" s="5" t="s">
        <v>69</v>
      </c>
      <c r="G4" s="5" t="s">
        <v>69</v>
      </c>
      <c r="H4" s="5" t="s">
        <v>69</v>
      </c>
    </row>
    <row r="5" spans="1:8" ht="15" customHeight="1" x14ac:dyDescent="0.25">
      <c r="A5" s="5" t="s">
        <v>1</v>
      </c>
      <c r="B5" s="5" t="s">
        <v>191</v>
      </c>
      <c r="C5" s="5" t="s">
        <v>1</v>
      </c>
      <c r="D5" s="5" t="s">
        <v>1</v>
      </c>
      <c r="E5" s="5" t="s">
        <v>1</v>
      </c>
      <c r="F5" s="5" t="s">
        <v>1</v>
      </c>
      <c r="G5" s="5" t="s">
        <v>1</v>
      </c>
      <c r="H5" s="5" t="s">
        <v>1</v>
      </c>
    </row>
    <row r="6" spans="1:8" ht="15" customHeight="1" x14ac:dyDescent="0.25">
      <c r="A6" s="10" t="s">
        <v>99</v>
      </c>
      <c r="B6" s="10" t="s">
        <v>332</v>
      </c>
      <c r="C6" s="10" t="s">
        <v>1</v>
      </c>
      <c r="D6" s="10" t="s">
        <v>1</v>
      </c>
      <c r="E6" s="10" t="s">
        <v>1</v>
      </c>
      <c r="F6" s="10" t="s">
        <v>1</v>
      </c>
      <c r="G6" s="10" t="s">
        <v>1</v>
      </c>
      <c r="H6" s="10" t="s">
        <v>1</v>
      </c>
    </row>
    <row r="7" spans="1:8" ht="15" customHeight="1" x14ac:dyDescent="0.25">
      <c r="A7" s="5" t="s">
        <v>69</v>
      </c>
      <c r="B7" s="5" t="s">
        <v>69</v>
      </c>
      <c r="C7" s="5" t="s">
        <v>69</v>
      </c>
      <c r="D7" s="5" t="s">
        <v>69</v>
      </c>
      <c r="E7" s="5" t="s">
        <v>69</v>
      </c>
      <c r="F7" s="5" t="s">
        <v>69</v>
      </c>
      <c r="G7" s="5" t="s">
        <v>69</v>
      </c>
      <c r="H7" s="5" t="s">
        <v>69</v>
      </c>
    </row>
    <row r="8" spans="1:8" ht="15" customHeight="1" x14ac:dyDescent="0.25">
      <c r="A8" s="5" t="s">
        <v>1</v>
      </c>
      <c r="B8" s="5" t="s">
        <v>191</v>
      </c>
      <c r="C8" s="5" t="s">
        <v>1</v>
      </c>
      <c r="D8" s="5" t="s">
        <v>1</v>
      </c>
      <c r="E8" s="5" t="s">
        <v>1</v>
      </c>
      <c r="F8" s="5" t="s">
        <v>1</v>
      </c>
      <c r="G8" s="5" t="s">
        <v>1</v>
      </c>
      <c r="H8" s="5" t="s">
        <v>1</v>
      </c>
    </row>
    <row r="9" spans="1:8" ht="15" customHeight="1" x14ac:dyDescent="0.25">
      <c r="A9" s="10" t="s">
        <v>114</v>
      </c>
      <c r="B9" s="10" t="s">
        <v>333</v>
      </c>
      <c r="C9" s="10" t="s">
        <v>1</v>
      </c>
      <c r="D9" s="10" t="s">
        <v>1</v>
      </c>
      <c r="E9" s="10" t="s">
        <v>1</v>
      </c>
      <c r="F9" s="10" t="s">
        <v>1</v>
      </c>
      <c r="G9" s="10" t="s">
        <v>1</v>
      </c>
      <c r="H9" s="10" t="s">
        <v>1</v>
      </c>
    </row>
    <row r="10" spans="1:8" ht="15" customHeight="1" x14ac:dyDescent="0.25">
      <c r="A10" s="5" t="s">
        <v>69</v>
      </c>
      <c r="B10" s="5" t="s">
        <v>69</v>
      </c>
      <c r="C10" s="5" t="s">
        <v>69</v>
      </c>
      <c r="D10" s="5" t="s">
        <v>69</v>
      </c>
      <c r="E10" s="5" t="s">
        <v>69</v>
      </c>
      <c r="F10" s="5" t="s">
        <v>69</v>
      </c>
      <c r="G10" s="5" t="s">
        <v>69</v>
      </c>
      <c r="H10" s="5" t="s">
        <v>69</v>
      </c>
    </row>
    <row r="11" spans="1:8" ht="15" customHeight="1" x14ac:dyDescent="0.25">
      <c r="A11" s="5" t="s">
        <v>1</v>
      </c>
      <c r="B11" s="5" t="s">
        <v>191</v>
      </c>
      <c r="C11" s="5" t="s">
        <v>1</v>
      </c>
      <c r="D11" s="5" t="s">
        <v>1</v>
      </c>
      <c r="E11" s="5" t="s">
        <v>1</v>
      </c>
      <c r="F11" s="5" t="s">
        <v>1</v>
      </c>
      <c r="G11" s="5" t="s">
        <v>1</v>
      </c>
      <c r="H11" s="5" t="s">
        <v>1</v>
      </c>
    </row>
    <row r="12" spans="1:8" ht="15" customHeight="1" x14ac:dyDescent="0.25">
      <c r="A12" s="10" t="s">
        <v>117</v>
      </c>
      <c r="B12" s="10" t="s">
        <v>334</v>
      </c>
      <c r="C12" s="10" t="s">
        <v>1</v>
      </c>
      <c r="D12" s="10" t="s">
        <v>1</v>
      </c>
      <c r="E12" s="10" t="s">
        <v>1</v>
      </c>
      <c r="F12" s="10" t="s">
        <v>1</v>
      </c>
      <c r="G12" s="10" t="s">
        <v>1</v>
      </c>
      <c r="H12" s="10" t="s">
        <v>1</v>
      </c>
    </row>
    <row r="13" spans="1:8" ht="15" customHeight="1" x14ac:dyDescent="0.25">
      <c r="A13" s="5" t="s">
        <v>69</v>
      </c>
      <c r="B13" s="5" t="s">
        <v>69</v>
      </c>
      <c r="C13" s="5" t="s">
        <v>69</v>
      </c>
      <c r="D13" s="5" t="s">
        <v>69</v>
      </c>
      <c r="E13" s="5" t="s">
        <v>69</v>
      </c>
      <c r="F13" s="5" t="s">
        <v>69</v>
      </c>
      <c r="G13" s="5" t="s">
        <v>69</v>
      </c>
      <c r="H13" s="5" t="s">
        <v>69</v>
      </c>
    </row>
    <row r="14" spans="1:8" ht="15" customHeight="1" x14ac:dyDescent="0.25">
      <c r="A14" s="5" t="s">
        <v>1</v>
      </c>
      <c r="B14" s="5" t="s">
        <v>191</v>
      </c>
      <c r="C14" s="5" t="s">
        <v>1</v>
      </c>
      <c r="D14" s="5" t="s">
        <v>1</v>
      </c>
      <c r="E14" s="5" t="s">
        <v>1</v>
      </c>
      <c r="F14" s="5" t="s">
        <v>1</v>
      </c>
      <c r="G14" s="5" t="s">
        <v>1</v>
      </c>
      <c r="H14" s="5" t="s">
        <v>1</v>
      </c>
    </row>
    <row r="15" spans="1:8" ht="15" customHeight="1" x14ac:dyDescent="0.25">
      <c r="A15" s="10" t="s">
        <v>120</v>
      </c>
      <c r="B15" s="10" t="s">
        <v>335</v>
      </c>
      <c r="C15" s="10" t="s">
        <v>1</v>
      </c>
      <c r="D15" s="10" t="s">
        <v>1</v>
      </c>
      <c r="E15" s="10" t="s">
        <v>1</v>
      </c>
      <c r="F15" s="10" t="s">
        <v>1</v>
      </c>
      <c r="G15" s="10" t="s">
        <v>1</v>
      </c>
      <c r="H15" s="10" t="s">
        <v>1</v>
      </c>
    </row>
    <row r="16" spans="1:8" ht="15" customHeight="1" x14ac:dyDescent="0.25">
      <c r="A16" s="5" t="s">
        <v>69</v>
      </c>
      <c r="B16" s="5" t="s">
        <v>69</v>
      </c>
      <c r="C16" s="5" t="s">
        <v>69</v>
      </c>
      <c r="D16" s="5" t="s">
        <v>69</v>
      </c>
      <c r="E16" s="5" t="s">
        <v>69</v>
      </c>
      <c r="F16" s="5" t="s">
        <v>69</v>
      </c>
      <c r="G16" s="5" t="s">
        <v>69</v>
      </c>
      <c r="H16" s="5" t="s">
        <v>69</v>
      </c>
    </row>
    <row r="17" spans="1:8" ht="15" customHeight="1" x14ac:dyDescent="0.25">
      <c r="A17" s="5" t="s">
        <v>1</v>
      </c>
      <c r="B17" s="5" t="s">
        <v>191</v>
      </c>
      <c r="C17" s="5" t="s">
        <v>1</v>
      </c>
      <c r="D17" s="5" t="s">
        <v>1</v>
      </c>
      <c r="E17" s="5" t="s">
        <v>1</v>
      </c>
      <c r="F17" s="5" t="s">
        <v>1</v>
      </c>
      <c r="G17" s="5" t="s">
        <v>1</v>
      </c>
      <c r="H17" s="5" t="s">
        <v>1</v>
      </c>
    </row>
    <row r="18" spans="1:8" ht="15" customHeight="1" x14ac:dyDescent="0.25">
      <c r="A18" s="10" t="s">
        <v>162</v>
      </c>
      <c r="B18" s="10" t="s">
        <v>336</v>
      </c>
      <c r="C18" s="10" t="s">
        <v>1</v>
      </c>
      <c r="D18" s="10" t="s">
        <v>1</v>
      </c>
      <c r="E18" s="10" t="s">
        <v>1</v>
      </c>
      <c r="F18" s="10" t="s">
        <v>1</v>
      </c>
      <c r="G18" s="10" t="s">
        <v>1</v>
      </c>
      <c r="H18" s="10" t="s">
        <v>1</v>
      </c>
    </row>
    <row r="19" spans="1:8" ht="15" customHeight="1" x14ac:dyDescent="0.25">
      <c r="A19" s="5" t="s">
        <v>69</v>
      </c>
      <c r="B19" s="5" t="s">
        <v>69</v>
      </c>
      <c r="C19" s="5" t="s">
        <v>69</v>
      </c>
      <c r="D19" s="5" t="s">
        <v>69</v>
      </c>
      <c r="E19" s="5" t="s">
        <v>69</v>
      </c>
      <c r="F19" s="5" t="s">
        <v>69</v>
      </c>
      <c r="G19" s="5" t="s">
        <v>69</v>
      </c>
      <c r="H19" s="5" t="s">
        <v>69</v>
      </c>
    </row>
    <row r="20" spans="1:8" ht="15" customHeight="1" x14ac:dyDescent="0.25">
      <c r="A20" s="5" t="s">
        <v>1</v>
      </c>
      <c r="B20" s="5" t="s">
        <v>191</v>
      </c>
      <c r="C20" s="5" t="s">
        <v>1</v>
      </c>
      <c r="D20" s="5" t="s">
        <v>1</v>
      </c>
      <c r="E20" s="5" t="s">
        <v>1</v>
      </c>
      <c r="F20" s="5" t="s">
        <v>1</v>
      </c>
      <c r="G20" s="5" t="s">
        <v>1</v>
      </c>
      <c r="H20" s="5" t="s">
        <v>1</v>
      </c>
    </row>
    <row r="21" spans="1:8" ht="15" customHeight="1" x14ac:dyDescent="0.25">
      <c r="A21" s="10" t="s">
        <v>165</v>
      </c>
      <c r="B21" s="10" t="s">
        <v>206</v>
      </c>
      <c r="C21" s="10" t="s">
        <v>1</v>
      </c>
      <c r="D21" s="10" t="s">
        <v>1</v>
      </c>
      <c r="E21" s="10" t="s">
        <v>1</v>
      </c>
      <c r="F21" s="10" t="s">
        <v>1</v>
      </c>
      <c r="G21" s="10" t="s">
        <v>1</v>
      </c>
      <c r="H21" s="10" t="s">
        <v>1</v>
      </c>
    </row>
  </sheetData>
  <mergeCells count="6">
    <mergeCell ref="A1:A2"/>
    <mergeCell ref="H1:H2"/>
    <mergeCell ref="F1:G1"/>
    <mergeCell ref="D1:E1"/>
    <mergeCell ref="C1:C2"/>
    <mergeCell ref="B1:B2"/>
  </mergeCells>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autoPageBreaks="0" fitToPage="1"/>
  </sheetPr>
  <dimension ref="A1:C3"/>
  <sheetViews>
    <sheetView workbookViewId="0">
      <selection activeCell="C38" sqref="C38"/>
    </sheetView>
  </sheetViews>
  <sheetFormatPr defaultRowHeight="12.75" x14ac:dyDescent="0.2"/>
  <cols>
    <col min="1" max="1" width="6.85546875" customWidth="1"/>
    <col min="2" max="2" width="49" customWidth="1"/>
    <col min="3" max="3" width="44.7109375" customWidth="1"/>
  </cols>
  <sheetData>
    <row r="1" spans="1:3" ht="15" customHeight="1" x14ac:dyDescent="0.2">
      <c r="A1" s="9" t="s">
        <v>6</v>
      </c>
      <c r="B1" s="9" t="s">
        <v>337</v>
      </c>
      <c r="C1" s="9" t="s">
        <v>7</v>
      </c>
    </row>
    <row r="2" spans="1:3" ht="15" customHeight="1" x14ac:dyDescent="0.25">
      <c r="A2" s="5" t="s">
        <v>69</v>
      </c>
      <c r="B2" s="5" t="s">
        <v>69</v>
      </c>
      <c r="C2" s="5" t="s">
        <v>69</v>
      </c>
    </row>
    <row r="3" spans="1:3" ht="15" customHeight="1" x14ac:dyDescent="0.25">
      <c r="A3" s="5"/>
      <c r="B3" s="5"/>
      <c r="C3" s="5"/>
    </row>
  </sheetData>
  <pageMargins left="0.75" right="0.75" top="1" bottom="1" header="0.5" footer="0.5"/>
  <pageSetup orientation="portrait"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autoPageBreaks="0" fitToPage="1"/>
  </sheetPr>
  <dimension ref="A1:A840"/>
  <sheetViews>
    <sheetView workbookViewId="0"/>
  </sheetViews>
  <sheetFormatPr defaultRowHeight="12.75" x14ac:dyDescent="0.2"/>
  <sheetData>
    <row r="1" spans="1:1" x14ac:dyDescent="0.2">
      <c r="A1" t="str">
        <f>CONCATENATE("{'SheetId':'46a08105-9a54-4cad-a93a-3d9430ced38e'",",","'UId':'1492f85e-a4ee-4f1a-ac54-73b6a2156e6e'",",'Col':",COLUMN(BCTaiSan_06134!D3),",'Row':",ROW(BCTaiSan_06134!D3),",","'Format':'numberic'",",'Value':'",SUBSTITUTE(BCTaiSan_06134!D3,"'","\'"),"','TargetCode':''}")</f>
        <v>{'SheetId':'46a08105-9a54-4cad-a93a-3d9430ced38e','UId':'1492f85e-a4ee-4f1a-ac54-73b6a2156e6e','Col':4,'Row':3,'Format':'numberic','Value':'78120916','TargetCode':''}</v>
      </c>
    </row>
    <row r="2" spans="1:1" x14ac:dyDescent="0.2">
      <c r="A2" t="str">
        <f>CONCATENATE("{'SheetId':'46a08105-9a54-4cad-a93a-3d9430ced38e'",",","'UId':'ca332f91-cb26-477d-9dcb-88aaaa5f723d'",",'Col':",COLUMN(BCTaiSan_06134!E3),",'Row':",ROW(BCTaiSan_06134!E3),",","'Format':'numberic'",",'Value':'",SUBSTITUTE(BCTaiSan_06134!E3,"'","\'"),"','TargetCode':''}")</f>
        <v>{'SheetId':'46a08105-9a54-4cad-a93a-3d9430ced38e','UId':'ca332f91-cb26-477d-9dcb-88aaaa5f723d','Col':5,'Row':3,'Format':'numberic','Value':'125905994','TargetCode':''}</v>
      </c>
    </row>
    <row r="3" spans="1:1" x14ac:dyDescent="0.2">
      <c r="A3" t="str">
        <f>CONCATENATE("{'SheetId':'46a08105-9a54-4cad-a93a-3d9430ced38e'",",","'UId':'ff02563b-df1f-4123-a85f-f46e90a27c82'",",'Col':",COLUMN(BCTaiSan_06134!F3),",'Row':",ROW(BCTaiSan_06134!F3),",","'Format':'numberic'",",'Value':'",SUBSTITUTE(BCTaiSan_06134!F3,"'","\'"),"','TargetCode':''}")</f>
        <v>{'SheetId':'46a08105-9a54-4cad-a93a-3d9430ced38e','UId':'ff02563b-df1f-4123-a85f-f46e90a27c82','Col':6,'Row':3,'Format':'numberic','Value':'0','TargetCode':''}</v>
      </c>
    </row>
    <row r="4" spans="1:1" x14ac:dyDescent="0.2">
      <c r="A4" t="str">
        <f>CONCATENATE("{'SheetId':'46a08105-9a54-4cad-a93a-3d9430ced38e'",",","'UId':'5c58408d-d039-4107-bce5-87da411f54de'",",'Col':",COLUMN(BCTaiSan_06134!D4),",'Row':",ROW(BCTaiSan_06134!D4),",","'Format':'numberic'",",'Value':'",SUBSTITUTE(BCTaiSan_06134!D4,"'","\'"),"','TargetCode':''}")</f>
        <v>{'SheetId':'46a08105-9a54-4cad-a93a-3d9430ced38e','UId':'5c58408d-d039-4107-bce5-87da411f54de','Col':4,'Row':4,'Format':'numberic','Value':'','TargetCode':''}</v>
      </c>
    </row>
    <row r="5" spans="1:1" x14ac:dyDescent="0.2">
      <c r="A5" t="str">
        <f>CONCATENATE("{'SheetId':'46a08105-9a54-4cad-a93a-3d9430ced38e'",",","'UId':'d9bf170b-d55d-4ef3-8b2c-0e0d12022b3e'",",'Col':",COLUMN(BCTaiSan_06134!E4),",'Row':",ROW(BCTaiSan_06134!E4),",","'Format':'numberic'",",'Value':'",SUBSTITUTE(BCTaiSan_06134!E4,"'","\'"),"','TargetCode':''}")</f>
        <v>{'SheetId':'46a08105-9a54-4cad-a93a-3d9430ced38e','UId':'d9bf170b-d55d-4ef3-8b2c-0e0d12022b3e','Col':5,'Row':4,'Format':'numberic','Value':'','TargetCode':''}</v>
      </c>
    </row>
    <row r="6" spans="1:1" x14ac:dyDescent="0.2">
      <c r="A6" t="str">
        <f>CONCATENATE("{'SheetId':'46a08105-9a54-4cad-a93a-3d9430ced38e'",",","'UId':'35a7203f-b707-4716-8e88-6391a3191fa1'",",'Col':",COLUMN(BCTaiSan_06134!F4),",'Row':",ROW(BCTaiSan_06134!F4),",","'Format':'numberic'",",'Value':'",SUBSTITUTE(BCTaiSan_06134!F4,"'","\'"),"','TargetCode':''}")</f>
        <v>{'SheetId':'46a08105-9a54-4cad-a93a-3d9430ced38e','UId':'35a7203f-b707-4716-8e88-6391a3191fa1','Col':6,'Row':4,'Format':'numberic','Value':' ','TargetCode':''}</v>
      </c>
    </row>
    <row r="7" spans="1:1" x14ac:dyDescent="0.2">
      <c r="A7" t="str">
        <f>CONCATENATE("{'SheetId':'46a08105-9a54-4cad-a93a-3d9430ced38e'",",","'UId':'1a22f9e1-dd05-415a-a897-a6007387a41d'",",'Col':",COLUMN(BCTaiSan_06134!A6),",'Row':",ROW(BCTaiSan_06134!A6),",","'ColDynamic':",COLUMN(BCTaiSan_06134!A5),",","'RowDynamic':",ROW(BCTaiSan_06134!A5),",","'Format':'string'",",'Value':'",SUBSTITUTE(BCTaiSan_06134!A6,"'","\'"),"','TargetCode':''}")</f>
        <v>{'SheetId':'46a08105-9a54-4cad-a93a-3d9430ced38e','UId':'1a22f9e1-dd05-415a-a897-a6007387a41d','Col':1,'Row':6,'ColDynamic':1,'RowDynamic':5,'Format':'string','Value':' ','TargetCode':''}</v>
      </c>
    </row>
    <row r="8" spans="1:1" x14ac:dyDescent="0.2">
      <c r="A8" t="str">
        <f>CONCATENATE("{'SheetId':'46a08105-9a54-4cad-a93a-3d9430ced38e'",",","'UId':'45fba161-e7b2-42be-b53c-11313320f6dc'",",'Col':",COLUMN(BCTaiSan_06134!B6),",'Row':",ROW(BCTaiSan_06134!B6),",","'ColDynamic':",COLUMN(BCTaiSan_06134!B5),",","'RowDynamic':",ROW(BCTaiSan_06134!B5),",","'Format':'string'",",'Value':'",SUBSTITUTE(BCTaiSan_06134!B6,"'","\'"),"','TargetCode':''}")</f>
        <v>{'SheetId':'46a08105-9a54-4cad-a93a-3d9430ced38e','UId':'45fba161-e7b2-42be-b53c-11313320f6dc','Col':2,'Row':6,'ColDynamic':2,'RowDynamic':5,'Format':'string','Value':'Tiền gửi ngân hàng','TargetCode':''}</v>
      </c>
    </row>
    <row r="9" spans="1:1" x14ac:dyDescent="0.2">
      <c r="A9" t="str">
        <f>CONCATENATE("{'SheetId':'46a08105-9a54-4cad-a93a-3d9430ced38e'",",","'UId':'32a08c13-d167-474e-9ca1-03631c847fcd'",",'Col':",COLUMN(BCTaiSan_06134!C6),",'Row':",ROW(BCTaiSan_06134!C6),",","'ColDynamic':",COLUMN(BCTaiSan_06134!C5),",","'RowDynamic':",ROW(BCTaiSan_06134!C5),",","'Format':'string'",",'Value':'",SUBSTITUTE(BCTaiSan_06134!C6,"'","\'"),"','TargetCode':''}")</f>
        <v>{'SheetId':'46a08105-9a54-4cad-a93a-3d9430ced38e','UId':'32a08c13-d167-474e-9ca1-03631c847fcd','Col':3,'Row':6,'ColDynamic':3,'RowDynamic':5,'Format':'string','Value':'2203','TargetCode':''}</v>
      </c>
    </row>
    <row r="10" spans="1:1" x14ac:dyDescent="0.2">
      <c r="A10" t="str">
        <f>CONCATENATE("{'SheetId':'46a08105-9a54-4cad-a93a-3d9430ced38e'",",","'UId':'571bad59-514a-47c2-8b63-739a3b695b1d'",",'Col':",COLUMN(BCTaiSan_06134!D6),",'Row':",ROW(BCTaiSan_06134!D6),",","'ColDynamic':",COLUMN(BCTaiSan_06134!D5),",","'RowDynamic':",ROW(BCTaiSan_06134!D5),",","'Format':'numberic'",",'Value':'",SUBSTITUTE(BCTaiSan_06134!D6,"'","\'"),"','TargetCode':''}")</f>
        <v>{'SheetId':'46a08105-9a54-4cad-a93a-3d9430ced38e','UId':'571bad59-514a-47c2-8b63-739a3b695b1d','Col':4,'Row':6,'ColDynamic':4,'RowDynamic':5,'Format':'numberic','Value':'78120916','TargetCode':''}</v>
      </c>
    </row>
    <row r="11" spans="1:1" x14ac:dyDescent="0.2">
      <c r="A11" t="str">
        <f>CONCATENATE("{'SheetId':'46a08105-9a54-4cad-a93a-3d9430ced38e'",",","'UId':'82f29d1e-e210-4794-af6a-8d8f21a01485'",",'Col':",COLUMN(BCTaiSan_06134!E6),",'Row':",ROW(BCTaiSan_06134!E6),",","'ColDynamic':",COLUMN(BCTaiSan_06134!E5),",","'RowDynamic':",ROW(BCTaiSan_06134!E5),",","'Format':'numberic'",",'Value':'",SUBSTITUTE(BCTaiSan_06134!E6,"'","\'"),"','TargetCode':''}")</f>
        <v>{'SheetId':'46a08105-9a54-4cad-a93a-3d9430ced38e','UId':'82f29d1e-e210-4794-af6a-8d8f21a01485','Col':5,'Row':6,'ColDynamic':5,'RowDynamic':5,'Format':'numberic','Value':'125905994','TargetCode':''}</v>
      </c>
    </row>
    <row r="12" spans="1:1" x14ac:dyDescent="0.2">
      <c r="A12" t="str">
        <f>CONCATENATE("{'SheetId':'46a08105-9a54-4cad-a93a-3d9430ced38e'",",","'UId':'7db9afc9-e09a-4469-b3e1-524722f98df1'",",'Col':",COLUMN(BCTaiSan_06134!F6),",'Row':",ROW(BCTaiSan_06134!F6),",","'ColDynamic':",COLUMN(BCTaiSan_06134!F5),",","'RowDynamic':",ROW(BCTaiSan_06134!F5),",","'Format':'numberic'",",'Value':'",SUBSTITUTE(BCTaiSan_06134!F6,"'","\'"),"','TargetCode':''}")</f>
        <v>{'SheetId':'46a08105-9a54-4cad-a93a-3d9430ced38e','UId':'7db9afc9-e09a-4469-b3e1-524722f98df1','Col':6,'Row':6,'ColDynamic':6,'RowDynamic':5,'Format':'numberic','Value':'0','TargetCode':''}</v>
      </c>
    </row>
    <row r="13" spans="1:1" x14ac:dyDescent="0.2">
      <c r="A13" t="str">
        <f>CONCATENATE("{'SheetId':'46a08105-9a54-4cad-a93a-3d9430ced38e'",",","'UId':'f2616ad0-4c7a-4d76-9e91-e8a9db3d92c3'",",'Col':",COLUMN(BCTaiSan_06134!A8),",'Row':",ROW(BCTaiSan_06134!A8),",","'ColDynamic':",COLUMN(BCTaiSan_06134!A7),",","'RowDynamic':",ROW(BCTaiSan_06134!A7),",","'Format':'string'",",'Value':'",SUBSTITUTE(BCTaiSan_06134!A8,"'","\'"),"','TargetCode':''}")</f>
        <v>{'SheetId':'46a08105-9a54-4cad-a93a-3d9430ced38e','UId':'f2616ad0-4c7a-4d76-9e91-e8a9db3d92c3','Col':1,'Row':8,'ColDynamic':1,'RowDynamic':7,'Format':'string','Value':' ','TargetCode':''}</v>
      </c>
    </row>
    <row r="14" spans="1:1" x14ac:dyDescent="0.2">
      <c r="A14" t="str">
        <f>CONCATENATE("{'SheetId':'46a08105-9a54-4cad-a93a-3d9430ced38e'",",","'UId':'0826de25-a222-4c69-957c-1687fd75ba85'",",'Col':",COLUMN(BCTaiSan_06134!B8),",'Row':",ROW(BCTaiSan_06134!B8),",","'ColDynamic':",COLUMN(BCTaiSan_06134!B7),",","'RowDynamic':",ROW(BCTaiSan_06134!B7),",","'Format':'string'",",'Value':'",SUBSTITUTE(BCTaiSan_06134!B8,"'","\'"),"','TargetCode':''}")</f>
        <v>{'SheetId':'46a08105-9a54-4cad-a93a-3d9430ced38e','UId':'0826de25-a222-4c69-957c-1687fd75ba85','Col':2,'Row':8,'ColDynamic':2,'RowDynamic':7,'Format':'string','Value':'Tiền gửi của nhà đầu tư cho hoạt động mua chứng chỉ quỹ','TargetCode':''}</v>
      </c>
    </row>
    <row r="15" spans="1:1" x14ac:dyDescent="0.2">
      <c r="A15" t="str">
        <f>CONCATENATE("{'SheetId':'46a08105-9a54-4cad-a93a-3d9430ced38e'",",","'UId':'2e5bddb9-5491-433e-a84d-2c903110a433'",",'Col':",COLUMN(BCTaiSan_06134!C8),",'Row':",ROW(BCTaiSan_06134!C8),",","'ColDynamic':",COLUMN(BCTaiSan_06134!C7),",","'RowDynamic':",ROW(BCTaiSan_06134!C7),",","'Format':'string'",",'Value':'",SUBSTITUTE(BCTaiSan_06134!C8,"'","\'"),"','TargetCode':''}")</f>
        <v>{'SheetId':'46a08105-9a54-4cad-a93a-3d9430ced38e','UId':'2e5bddb9-5491-433e-a84d-2c903110a433','Col':3,'Row':8,'ColDynamic':3,'RowDynamic':7,'Format':'string','Value':'2204','TargetCode':''}</v>
      </c>
    </row>
    <row r="16" spans="1:1" x14ac:dyDescent="0.2">
      <c r="A16" t="str">
        <f>CONCATENATE("{'SheetId':'46a08105-9a54-4cad-a93a-3d9430ced38e'",",","'UId':'6fa884db-7b47-45ec-958f-8f0c4ecca4a8'",",'Col':",COLUMN(BCTaiSan_06134!D8),",'Row':",ROW(BCTaiSan_06134!D8),",","'ColDynamic':",COLUMN(BCTaiSan_06134!D7),",","'RowDynamic':",ROW(BCTaiSan_06134!D7),",","'Format':'numberic'",",'Value':'",SUBSTITUTE(BCTaiSan_06134!D8,"'","\'"),"','TargetCode':''}")</f>
        <v>{'SheetId':'46a08105-9a54-4cad-a93a-3d9430ced38e','UId':'6fa884db-7b47-45ec-958f-8f0c4ecca4a8','Col':4,'Row':8,'ColDynamic':4,'RowDynamic':7,'Format':'numberic','Value':'','TargetCode':''}</v>
      </c>
    </row>
    <row r="17" spans="1:1" x14ac:dyDescent="0.2">
      <c r="A17" t="str">
        <f>CONCATENATE("{'SheetId':'46a08105-9a54-4cad-a93a-3d9430ced38e'",",","'UId':'54519a39-2584-4670-a4f1-26eb450f678a'",",'Col':",COLUMN(BCTaiSan_06134!E8),",'Row':",ROW(BCTaiSan_06134!E8),",","'ColDynamic':",COLUMN(BCTaiSan_06134!E7),",","'RowDynamic':",ROW(BCTaiSan_06134!E7),",","'Format':'numberic'",",'Value':'",SUBSTITUTE(BCTaiSan_06134!E8,"'","\'"),"','TargetCode':''}")</f>
        <v>{'SheetId':'46a08105-9a54-4cad-a93a-3d9430ced38e','UId':'54519a39-2584-4670-a4f1-26eb450f678a','Col':5,'Row':8,'ColDynamic':5,'RowDynamic':7,'Format':'numberic','Value':'','TargetCode':''}</v>
      </c>
    </row>
    <row r="18" spans="1:1" x14ac:dyDescent="0.2">
      <c r="A18" t="str">
        <f>CONCATENATE("{'SheetId':'46a08105-9a54-4cad-a93a-3d9430ced38e'",",","'UId':'4e37b9b4-7272-4d3e-9ee5-afacd5c53124'",",'Col':",COLUMN(BCTaiSan_06134!F8),",'Row':",ROW(BCTaiSan_06134!F8),",","'ColDynamic':",COLUMN(BCTaiSan_06134!F7),",","'RowDynamic':",ROW(BCTaiSan_06134!F7),",","'Format':'numberic'",",'Value':'",SUBSTITUTE(BCTaiSan_06134!F8,"'","\'"),"','TargetCode':''}")</f>
        <v>{'SheetId':'46a08105-9a54-4cad-a93a-3d9430ced38e','UId':'4e37b9b4-7272-4d3e-9ee5-afacd5c53124','Col':6,'Row':8,'ColDynamic':6,'RowDynamic':7,'Format':'numberic','Value':'0','TargetCode':''}</v>
      </c>
    </row>
    <row r="19" spans="1:1" x14ac:dyDescent="0.2">
      <c r="A19" t="str">
        <f>CONCATENATE("{'SheetId':'46a08105-9a54-4cad-a93a-3d9430ced38e'",",","'UId':'6d303e64-404a-431f-b7dc-e04ab9d7f275'",",'Col':",COLUMN(BCTaiSan_06134!D9),",'Row':",ROW(BCTaiSan_06134!D9),",","'ColDynamic':",COLUMN(BCTaiSan_06134!D9),",","'RowDynamic':",ROW(BCTaiSan_06134!D9),",","'Format':'numberic'",",'Value':'",SUBSTITUTE(BCTaiSan_06134!D9,"'","\'"),"','TargetCode':''}")</f>
        <v>{'SheetId':'46a08105-9a54-4cad-a93a-3d9430ced38e','UId':'6d303e64-404a-431f-b7dc-e04ab9d7f275','Col':4,'Row':9,'ColDynamic':4,'RowDynamic':9,'Format':'numberic','Value':'68574628750','TargetCode':''}</v>
      </c>
    </row>
    <row r="20" spans="1:1" x14ac:dyDescent="0.2">
      <c r="A20" t="str">
        <f>CONCATENATE("{'SheetId':'46a08105-9a54-4cad-a93a-3d9430ced38e'",",","'UId':'eb1c007d-74bd-4ead-a76c-dd1dc190ee2c'",",'Col':",COLUMN(BCTaiSan_06134!E9),",'Row':",ROW(BCTaiSan_06134!E9),",","'Format':'numberic'",",'Value':'",SUBSTITUTE(BCTaiSan_06134!E9,"'","\'"),"','TargetCode':''}")</f>
        <v>{'SheetId':'46a08105-9a54-4cad-a93a-3d9430ced38e','UId':'eb1c007d-74bd-4ead-a76c-dd1dc190ee2c','Col':5,'Row':9,'Format':'numberic','Value':'68728618300','TargetCode':''}</v>
      </c>
    </row>
    <row r="21" spans="1:1" x14ac:dyDescent="0.2">
      <c r="A21" t="str">
        <f>CONCATENATE("{'SheetId':'46a08105-9a54-4cad-a93a-3d9430ced38e'",",","'UId':'4b4f46f3-cdda-44f7-bb17-34e0bd523eca'",",'Col':",COLUMN(BCTaiSan_06134!F9),",'Row':",ROW(BCTaiSan_06134!F9),",","'ColDynamic':",COLUMN(BCTaiSan_06134!F9),",","'RowDynamic':",ROW(BCTaiSan_06134!F9),",","'Format':'numberic'",",'Value':'",SUBSTITUTE(BCTaiSan_06134!F9,"'","\'"),"','TargetCode':''}")</f>
        <v>{'SheetId':'46a08105-9a54-4cad-a93a-3d9430ced38e','UId':'4b4f46f3-cdda-44f7-bb17-34e0bd523eca','Col':6,'Row':9,'ColDynamic':6,'RowDynamic':9,'Format':'numberic','Value':'0','TargetCode':''}</v>
      </c>
    </row>
    <row r="22" spans="1:1" x14ac:dyDescent="0.2">
      <c r="A22" t="str">
        <f>CONCATENATE("{'SheetId':'46a08105-9a54-4cad-a93a-3d9430ced38e'",",","'UId':'07ea259f-f7ce-4a6f-b983-43b2f8022af9'",",'Col':",COLUMN(BCTaiSan_06134!A11),",'Row':",ROW(BCTaiSan_06134!A11),",","'ColDynamic':",COLUMN(BCTaiSan_06134!A11),",","'RowDynamic':",ROW(BCTaiSan_06134!A11),",","'Format':'string'",",'Value':'",SUBSTITUTE(BCTaiSan_06134!A11,"'","\'"),"','TargetCode':''}")</f>
        <v>{'SheetId':'46a08105-9a54-4cad-a93a-3d9430ced38e','UId':'07ea259f-f7ce-4a6f-b983-43b2f8022af9','Col':1,'Row':11,'ColDynamic':1,'RowDynamic':11,'Format':'string','Value':'','TargetCode':''}</v>
      </c>
    </row>
    <row r="23" spans="1:1" x14ac:dyDescent="0.2">
      <c r="A23" t="str">
        <f>CONCATENATE("{'SheetId':'46a08105-9a54-4cad-a93a-3d9430ced38e'",",","'UId':'60da1688-4c16-4ccb-a9a7-6abb66029702'",",'Col':",COLUMN(BCTaiSan_06134!B11),",'Row':",ROW(BCTaiSan_06134!B11),",","'ColDynamic':",COLUMN(BCTaiSan_06134!B11),",","'RowDynamic':",ROW(BCTaiSan_06134!B11),",","'Format':'string'",",'Value':'",SUBSTITUTE(BCTaiSan_06134!B11,"'","\'"),"','TargetCode':''}")</f>
        <v>{'SheetId':'46a08105-9a54-4cad-a93a-3d9430ced38e','UId':'60da1688-4c16-4ccb-a9a7-6abb66029702','Col':2,'Row':11,'ColDynamic':2,'RowDynamic':11,'Format':'string','Value':'','TargetCode':''}</v>
      </c>
    </row>
    <row r="24" spans="1:1" x14ac:dyDescent="0.2">
      <c r="A24" t="str">
        <f>CONCATENATE("{'SheetId':'46a08105-9a54-4cad-a93a-3d9430ced38e'",",","'UId':'b7804882-c922-4594-ba45-c9b87c3ce12f'",",'Col':",COLUMN(BCTaiSan_06134!C11),",'Row':",ROW(BCTaiSan_06134!C11),",","'ColDynamic':",COLUMN(BCTaiSan_06134!C11),",","'RowDynamic':",ROW(BCTaiSan_06134!C11),",","'Format':'string'",",'Value':'",SUBSTITUTE(BCTaiSan_06134!C11,"'","\'"),"','TargetCode':''}")</f>
        <v>{'SheetId':'46a08105-9a54-4cad-a93a-3d9430ced38e','UId':'b7804882-c922-4594-ba45-c9b87c3ce12f','Col':3,'Row':11,'ColDynamic':3,'RowDynamic':11,'Format':'string','Value':'','TargetCode':''}</v>
      </c>
    </row>
    <row r="25" spans="1:1" x14ac:dyDescent="0.2">
      <c r="A25" t="str">
        <f>CONCATENATE("{'SheetId':'46a08105-9a54-4cad-a93a-3d9430ced38e'",",","'UId':'0e05be84-4126-44b1-9d71-bb755b2e8e0a'",",'Col':",COLUMN(BCTaiSan_06134!D11),",'Row':",ROW(BCTaiSan_06134!D11),",","'ColDynamic':",COLUMN(BCTaiSan_06134!D11),",","'RowDynamic':",ROW(BCTaiSan_06134!D11),",","'Format':'numberic'",",'Value':'",SUBSTITUTE(BCTaiSan_06134!D11,"'","\'"),"','TargetCode':''}")</f>
        <v>{'SheetId':'46a08105-9a54-4cad-a93a-3d9430ced38e','UId':'0e05be84-4126-44b1-9d71-bb755b2e8e0a','Col':4,'Row':11,'ColDynamic':4,'RowDynamic':11,'Format':'numberic','Value':'','TargetCode':''}</v>
      </c>
    </row>
    <row r="26" spans="1:1" x14ac:dyDescent="0.2">
      <c r="A26" t="str">
        <f>CONCATENATE("{'SheetId':'46a08105-9a54-4cad-a93a-3d9430ced38e'",",","'UId':'7ee506be-4e98-44b4-916a-981233f056e6'",",'Col':",COLUMN(BCTaiSan_06134!E11),",'Row':",ROW(BCTaiSan_06134!E11),",","'ColDynamic':",COLUMN(BCTaiSan_06134!E11),",","'RowDynamic':",ROW(BCTaiSan_06134!E11),",","'Format':'numberic'",",'Value':'",SUBSTITUTE(BCTaiSan_06134!E11,"'","\'"),"','TargetCode':''}")</f>
        <v>{'SheetId':'46a08105-9a54-4cad-a93a-3d9430ced38e','UId':'7ee506be-4e98-44b4-916a-981233f056e6','Col':5,'Row':11,'ColDynamic':5,'RowDynamic':11,'Format':'numberic','Value':'','TargetCode':''}</v>
      </c>
    </row>
    <row r="27" spans="1:1" x14ac:dyDescent="0.2">
      <c r="A27" t="str">
        <f>CONCATENATE("{'SheetId':'46a08105-9a54-4cad-a93a-3d9430ced38e'",",","'UId':'4c734f2c-f8f8-4dcc-9342-20bd408994a7'",",'Col':",COLUMN(BCTaiSan_06134!F11),",'Row':",ROW(BCTaiSan_06134!F11),",","'ColDynamic':",COLUMN(BCTaiSan_06134!F11),",","'RowDynamic':",ROW(BCTaiSan_06134!F11),",","'Format':'numberic'",",'Value':'",SUBSTITUTE(BCTaiSan_06134!F11,"'","\'"),"','TargetCode':''}")</f>
        <v>{'SheetId':'46a08105-9a54-4cad-a93a-3d9430ced38e','UId':'4c734f2c-f8f8-4dcc-9342-20bd408994a7','Col':6,'Row':11,'ColDynamic':6,'RowDynamic':11,'Format':'numberic','Value':'','TargetCode':''}</v>
      </c>
    </row>
    <row r="28" spans="1:1" x14ac:dyDescent="0.2">
      <c r="A28" t="str">
        <f>CONCATENATE("{'SheetId':'46a08105-9a54-4cad-a93a-3d9430ced38e'",",","'UId':'b570db5c-1e1a-49da-83ef-52abe90e90a0'",",'Col':",COLUMN(BCTaiSan_06134!D12),",'Row':",ROW(BCTaiSan_06134!D12),",","'Format':'numberic'",",'Value':'",SUBSTITUTE(BCTaiSan_06134!D12,"'","\'"),"','TargetCode':''}")</f>
        <v>{'SheetId':'46a08105-9a54-4cad-a93a-3d9430ced38e','UId':'b570db5c-1e1a-49da-83ef-52abe90e90a0','Col':4,'Row':12,'Format':'numberic','Value':'','TargetCode':''}</v>
      </c>
    </row>
    <row r="29" spans="1:1" x14ac:dyDescent="0.2">
      <c r="A29" t="str">
        <f>CONCATENATE("{'SheetId':'46a08105-9a54-4cad-a93a-3d9430ced38e'",",","'UId':'88bc1ac3-8080-4f0e-bca9-0b5bfb88bb8d'",",'Col':",COLUMN(BCTaiSan_06134!E12),",'Row':",ROW(BCTaiSan_06134!E12),",","'Format':'numberic'",",'Value':'",SUBSTITUTE(BCTaiSan_06134!E12,"'","\'"),"','TargetCode':''}")</f>
        <v>{'SheetId':'46a08105-9a54-4cad-a93a-3d9430ced38e','UId':'88bc1ac3-8080-4f0e-bca9-0b5bfb88bb8d','Col':5,'Row':12,'Format':'numberic','Value':'','TargetCode':''}</v>
      </c>
    </row>
    <row r="30" spans="1:1" x14ac:dyDescent="0.2">
      <c r="A30" t="str">
        <f>CONCATENATE("{'SheetId':'46a08105-9a54-4cad-a93a-3d9430ced38e'",",","'UId':'ab763271-1cca-4901-9be1-2500999d2946'",",'Col':",COLUMN(BCTaiSan_06134!F12),",'Row':",ROW(BCTaiSan_06134!F12),",","'Format':'numberic'",",'Value':'",SUBSTITUTE(BCTaiSan_06134!F12,"'","\'"),"','TargetCode':''}")</f>
        <v>{'SheetId':'46a08105-9a54-4cad-a93a-3d9430ced38e','UId':'ab763271-1cca-4901-9be1-2500999d2946','Col':6,'Row':12,'Format':'numberic','Value':'','TargetCode':''}</v>
      </c>
    </row>
    <row r="31" spans="1:1" x14ac:dyDescent="0.2">
      <c r="A31" t="str">
        <f>CONCATENATE("{'SheetId':'46a08105-9a54-4cad-a93a-3d9430ced38e'",",","'UId':'9f0c3561-c2eb-4af3-a162-2a2ede125df1'",",'Col':",COLUMN(BCTaiSan_06134!A14),",'Row':",ROW(BCTaiSan_06134!A14),",","'ColDynamic':",COLUMN(BCTaiSan_06134!A14),",","'RowDynamic':",ROW(BCTaiSan_06134!A14),",","'Format':'string'",",'Value':'",SUBSTITUTE(BCTaiSan_06134!A14,"'","\'"),"','TargetCode':''}")</f>
        <v>{'SheetId':'46a08105-9a54-4cad-a93a-3d9430ced38e','UId':'9f0c3561-c2eb-4af3-a162-2a2ede125df1','Col':1,'Row':14,'ColDynamic':1,'RowDynamic':14,'Format':'string','Value':'I.4','TargetCode':''}</v>
      </c>
    </row>
    <row r="32" spans="1:1" x14ac:dyDescent="0.2">
      <c r="A32" t="str">
        <f>CONCATENATE("{'SheetId':'46a08105-9a54-4cad-a93a-3d9430ced38e'",",","'UId':'89d2e3ab-f948-4a1e-9d76-c984e21f9929'",",'Col':",COLUMN(BCTaiSan_06134!B14),",'Row':",ROW(BCTaiSan_06134!B14),",","'ColDynamic':",COLUMN(BCTaiSan_06134!B14),",","'RowDynamic':",ROW(BCTaiSan_06134!B14),",","'Format':'string'",",'Value':'",SUBSTITUTE(BCTaiSan_06134!B14,"'","\'"),"','TargetCode':''}")</f>
        <v>{'SheetId':'46a08105-9a54-4cad-a93a-3d9430ced38e','UId':'89d2e3ab-f948-4a1e-9d76-c984e21f9929','Col':2,'Row':14,'ColDynamic':2,'RowDynamic':14,'Format':'string','Value':'Cổ tức, trái tức được nhận','TargetCode':''}</v>
      </c>
    </row>
    <row r="33" spans="1:1" x14ac:dyDescent="0.2">
      <c r="A33" t="str">
        <f>CONCATENATE("{'SheetId':'46a08105-9a54-4cad-a93a-3d9430ced38e'",",","'UId':'c5ffd5d0-a7ca-4fdc-88c5-d7d3cceaafad'",",'Col':",COLUMN(BCTaiSan_06134!C14),",'Row':",ROW(BCTaiSan_06134!C14),",","'ColDynamic':",COLUMN(BCTaiSan_06134!C14),",","'RowDynamic':",ROW(BCTaiSan_06134!C14),",","'Format':'string'",",'Value':'",SUBSTITUTE(BCTaiSan_06134!C14,"'","\'"),"','TargetCode':''}")</f>
        <v>{'SheetId':'46a08105-9a54-4cad-a93a-3d9430ced38e','UId':'c5ffd5d0-a7ca-4fdc-88c5-d7d3cceaafad','Col':3,'Row':14,'ColDynamic':3,'RowDynamic':14,'Format':'string','Value':'2206','TargetCode':''}</v>
      </c>
    </row>
    <row r="34" spans="1:1" x14ac:dyDescent="0.2">
      <c r="A34" t="str">
        <f>CONCATENATE("{'SheetId':'46a08105-9a54-4cad-a93a-3d9430ced38e'",",","'UId':'e6f37775-6f5b-4df7-9af0-f1a8b28d01cd'",",'Col':",COLUMN(BCTaiSan_06134!D14),",'Row':",ROW(BCTaiSan_06134!D14),",","'ColDynamic':",COLUMN(BCTaiSan_06134!D14),",","'RowDynamic':",ROW(BCTaiSan_06134!D14),",","'Format':'numberic'",",'Value':'",SUBSTITUTE(BCTaiSan_06134!D14,"'","\'"),"','TargetCode':''}")</f>
        <v>{'SheetId':'46a08105-9a54-4cad-a93a-3d9430ced38e','UId':'e6f37775-6f5b-4df7-9af0-f1a8b28d01cd','Col':4,'Row':14,'ColDynamic':4,'RowDynamic':14,'Format':'numberic','Value':'36500000','TargetCode':''}</v>
      </c>
    </row>
    <row r="35" spans="1:1" x14ac:dyDescent="0.2">
      <c r="A35" t="str">
        <f>CONCATENATE("{'SheetId':'46a08105-9a54-4cad-a93a-3d9430ced38e'",",","'UId':'0e3921cf-8396-4918-a4c6-431c87de1c0b'",",'Col':",COLUMN(BCTaiSan_06134!E14),",'Row':",ROW(BCTaiSan_06134!E14),",","'ColDynamic':",COLUMN(BCTaiSan_06134!E14),",","'RowDynamic':",ROW(BCTaiSan_06134!E14),",","'Format':'numberic'",",'Value':'",SUBSTITUTE(BCTaiSan_06134!E14,"'","\'"),"','TargetCode':''}")</f>
        <v>{'SheetId':'46a08105-9a54-4cad-a93a-3d9430ced38e','UId':'0e3921cf-8396-4918-a4c6-431c87de1c0b','Col':5,'Row':14,'ColDynamic':5,'RowDynamic':14,'Format':'numberic','Value':'','TargetCode':''}</v>
      </c>
    </row>
    <row r="36" spans="1:1" x14ac:dyDescent="0.2">
      <c r="A36" t="str">
        <f>CONCATENATE("{'SheetId':'46a08105-9a54-4cad-a93a-3d9430ced38e'",",","'UId':'f5341114-0c21-45b3-8a97-990a4f08f811'",",'Col':",COLUMN(BCTaiSan_06134!F14),",'Row':",ROW(BCTaiSan_06134!F14),",","'ColDynamic':",COLUMN(BCTaiSan_06134!F14),",","'RowDynamic':",ROW(BCTaiSan_06134!F14),",","'Format':'numberic'",",'Value':'",SUBSTITUTE(BCTaiSan_06134!F14,"'","\'"),"','TargetCode':''}")</f>
        <v>{'SheetId':'46a08105-9a54-4cad-a93a-3d9430ced38e','UId':'f5341114-0c21-45b3-8a97-990a4f08f811','Col':6,'Row':14,'ColDynamic':6,'RowDynamic':14,'Format':'numberic','Value':'0','TargetCode':''}</v>
      </c>
    </row>
    <row r="37" spans="1:1" x14ac:dyDescent="0.2">
      <c r="A37" t="str">
        <f>CONCATENATE("{'SheetId':'46a08105-9a54-4cad-a93a-3d9430ced38e'",",","'UId':'452a6a89-356f-408d-a8cc-5d724f959932'",",'Col':",COLUMN(BCTaiSan_06134!A16),",'Row':",ROW(BCTaiSan_06134!A16),",","'ColDynamic':",COLUMN(BCTaiSan_06134!A14),",","'RowDynamic':",ROW(BCTaiSan_06134!A14),",","'Format':'string'",",'Value':'",SUBSTITUTE(BCTaiSan_06134!A16,"'","\'"),"','TargetCode':''}")</f>
        <v>{'SheetId':'46a08105-9a54-4cad-a93a-3d9430ced38e','UId':'452a6a89-356f-408d-a8cc-5d724f959932','Col':1,'Row':16,'ColDynamic':1,'RowDynamic':14,'Format':'string','Value':'','TargetCode':''}</v>
      </c>
    </row>
    <row r="38" spans="1:1" x14ac:dyDescent="0.2">
      <c r="A38" t="str">
        <f>CONCATENATE("{'SheetId':'46a08105-9a54-4cad-a93a-3d9430ced38e'",",","'UId':'18e5ac56-f85a-4c40-a214-c08ea815bbf4'",",'Col':",COLUMN(BCTaiSan_06134!B16),",'Row':",ROW(BCTaiSan_06134!B16),",","'ColDynamic':",COLUMN(BCTaiSan_06134!B14),",","'RowDynamic':",ROW(BCTaiSan_06134!B14),",","'Format':'string'",",'Value':'",SUBSTITUTE(BCTaiSan_06134!B16,"'","\'"),"','TargetCode':''}")</f>
        <v>{'SheetId':'46a08105-9a54-4cad-a93a-3d9430ced38e','UId':'18e5ac56-f85a-4c40-a214-c08ea815bbf4','Col':2,'Row':16,'ColDynamic':2,'RowDynamic':14,'Format':'string','Value':'','TargetCode':''}</v>
      </c>
    </row>
    <row r="39" spans="1:1" x14ac:dyDescent="0.2">
      <c r="A39" t="str">
        <f>CONCATENATE("{'SheetId':'46a08105-9a54-4cad-a93a-3d9430ced38e'",",","'UId':'ac827057-0446-4df3-9e29-986ff39cb88d'",",'Col':",COLUMN(BCTaiSan_06134!C16),",'Row':",ROW(BCTaiSan_06134!C16),",","'ColDynamic':",COLUMN(BCTaiSan_06134!C14),",","'RowDynamic':",ROW(BCTaiSan_06134!C14),",","'Format':'string'",",'Value':'",SUBSTITUTE(BCTaiSan_06134!C16,"'","\'"),"','TargetCode':''}")</f>
        <v>{'SheetId':'46a08105-9a54-4cad-a93a-3d9430ced38e','UId':'ac827057-0446-4df3-9e29-986ff39cb88d','Col':3,'Row':16,'ColDynamic':3,'RowDynamic':14,'Format':'string','Value':'','TargetCode':''}</v>
      </c>
    </row>
    <row r="40" spans="1:1" x14ac:dyDescent="0.2">
      <c r="A40" t="str">
        <f>CONCATENATE("{'SheetId':'46a08105-9a54-4cad-a93a-3d9430ced38e'",",","'UId':'ca4ceb7d-5a74-40f5-a33b-810ff5cae178'",",'Col':",COLUMN(BCTaiSan_06134!D16),",'Row':",ROW(BCTaiSan_06134!D16),",","'ColDynamic':",COLUMN(BCTaiSan_06134!D14),",","'RowDynamic':",ROW(BCTaiSan_06134!D14),",","'Format':'numberic'",",'Value':'",SUBSTITUTE(BCTaiSan_06134!D16,"'","\'"),"','TargetCode':''}")</f>
        <v>{'SheetId':'46a08105-9a54-4cad-a93a-3d9430ced38e','UId':'ca4ceb7d-5a74-40f5-a33b-810ff5cae178','Col':4,'Row':16,'ColDynamic':4,'RowDynamic':14,'Format':'numberic','Value':'','TargetCode':''}</v>
      </c>
    </row>
    <row r="41" spans="1:1" x14ac:dyDescent="0.2">
      <c r="A41" t="str">
        <f>CONCATENATE("{'SheetId':'46a08105-9a54-4cad-a93a-3d9430ced38e'",",","'UId':'5c5b1242-e664-49ce-8b21-d87902c2145c'",",'Col':",COLUMN(BCTaiSan_06134!E16),",'Row':",ROW(BCTaiSan_06134!E16),",","'ColDynamic':",COLUMN(BCTaiSan_06134!E14),",","'RowDynamic':",ROW(BCTaiSan_06134!E14),",","'Format':'numberic'",",'Value':'",SUBSTITUTE(BCTaiSan_06134!E16,"'","\'"),"','TargetCode':''}")</f>
        <v>{'SheetId':'46a08105-9a54-4cad-a93a-3d9430ced38e','UId':'5c5b1242-e664-49ce-8b21-d87902c2145c','Col':5,'Row':16,'ColDynamic':5,'RowDynamic':14,'Format':'numberic','Value':'','TargetCode':''}</v>
      </c>
    </row>
    <row r="42" spans="1:1" x14ac:dyDescent="0.2">
      <c r="A42" t="str">
        <f>CONCATENATE("{'SheetId':'46a08105-9a54-4cad-a93a-3d9430ced38e'",",","'UId':'c5f45507-3836-43d5-bc2e-fbe8f8e03a77'",",'Col':",COLUMN(BCTaiSan_06134!F16),",'Row':",ROW(BCTaiSan_06134!F16),",","'ColDynamic':",COLUMN(BCTaiSan_06134!F14),",","'RowDynamic':",ROW(BCTaiSan_06134!F14),",","'Format':'numberic'",",'Value':'",SUBSTITUTE(BCTaiSan_06134!F16,"'","\'"),"','TargetCode':''}")</f>
        <v>{'SheetId':'46a08105-9a54-4cad-a93a-3d9430ced38e','UId':'c5f45507-3836-43d5-bc2e-fbe8f8e03a77','Col':6,'Row':16,'ColDynamic':6,'RowDynamic':14,'Format':'numberic','Value':'','TargetCode':''}</v>
      </c>
    </row>
    <row r="43" spans="1:1" x14ac:dyDescent="0.2">
      <c r="A43" t="str">
        <f>CONCATENATE("{'SheetId':'46a08105-9a54-4cad-a93a-3d9430ced38e'",",","'UId':'c74876df-d993-483f-b711-3638badfa794'",",'Col':",COLUMN(BCTaiSan_06134!D17),",'Row':",ROW(BCTaiSan_06134!D17),",","'Format':'numberic'",",'Value':'",SUBSTITUTE(BCTaiSan_06134!D17,"'","\'"),"','TargetCode':''}")</f>
        <v>{'SheetId':'46a08105-9a54-4cad-a93a-3d9430ced38e','UId':'c74876df-d993-483f-b711-3638badfa794','Col':4,'Row':17,'Format':'numberic','Value':'','TargetCode':''}</v>
      </c>
    </row>
    <row r="44" spans="1:1" x14ac:dyDescent="0.2">
      <c r="A44" t="str">
        <f>CONCATENATE("{'SheetId':'46a08105-9a54-4cad-a93a-3d9430ced38e'",",","'UId':'91bda4a4-91c0-439e-9668-85accd42c86c'",",'Col':",COLUMN(BCTaiSan_06134!E17),",'Row':",ROW(BCTaiSan_06134!E17),",","'Format':'numberic'",",'Value':'",SUBSTITUTE(BCTaiSan_06134!E17,"'","\'"),"','TargetCode':''}")</f>
        <v>{'SheetId':'46a08105-9a54-4cad-a93a-3d9430ced38e','UId':'91bda4a4-91c0-439e-9668-85accd42c86c','Col':5,'Row':17,'Format':'numberic','Value':'','TargetCode':''}</v>
      </c>
    </row>
    <row r="45" spans="1:1" x14ac:dyDescent="0.2">
      <c r="A45" t="str">
        <f>CONCATENATE("{'SheetId':'46a08105-9a54-4cad-a93a-3d9430ced38e'",",","'UId':'06732a74-d8c8-444f-acc3-2a3fc3d61352'",",'Col':",COLUMN(BCTaiSan_06134!F17),",'Row':",ROW(BCTaiSan_06134!F17),",","'Format':'numberic'",",'Value':'",SUBSTITUTE(BCTaiSan_06134!F17,"'","\'"),"','TargetCode':''}")</f>
        <v>{'SheetId':'46a08105-9a54-4cad-a93a-3d9430ced38e','UId':'06732a74-d8c8-444f-acc3-2a3fc3d61352','Col':6,'Row':17,'Format':'numberic','Value':'0','TargetCode':''}</v>
      </c>
    </row>
    <row r="46" spans="1:1" x14ac:dyDescent="0.2">
      <c r="A46" t="str">
        <f>CONCATENATE("{'SheetId':'46a08105-9a54-4cad-a93a-3d9430ced38e'",",","'UId':'88ff4240-9637-46aa-8f42-287a38771f6e'",",'Col':",COLUMN(BCTaiSan_06134!A19),",'Row':",ROW(BCTaiSan_06134!A19),",","'ColDynamic':",COLUMN(BCTaiSan_06134!A17),",","'RowDynamic':",ROW(BCTaiSan_06134!A17),",","'Format':'string'",",'Value':'",SUBSTITUTE(BCTaiSan_06134!A19,"'","\'"),"','TargetCode':''}")</f>
        <v>{'SheetId':'46a08105-9a54-4cad-a93a-3d9430ced38e','UId':'88ff4240-9637-46aa-8f42-287a38771f6e','Col':1,'Row':19,'ColDynamic':1,'RowDynamic':17,'Format':'string','Value':'','TargetCode':''}</v>
      </c>
    </row>
    <row r="47" spans="1:1" x14ac:dyDescent="0.2">
      <c r="A47" t="str">
        <f>CONCATENATE("{'SheetId':'46a08105-9a54-4cad-a93a-3d9430ced38e'",",","'UId':'0c5fd020-9611-4d90-aa66-92ccdfee15d0'",",'Col':",COLUMN(BCTaiSan_06134!B19),",'Row':",ROW(BCTaiSan_06134!B19),",","'ColDynamic':",COLUMN(BCTaiSan_06134!B17),",","'RowDynamic':",ROW(BCTaiSan_06134!B17),",","'Format':'string'",",'Value':'",SUBSTITUTE(BCTaiSan_06134!B19,"'","\'"),"','TargetCode':''}")</f>
        <v>{'SheetId':'46a08105-9a54-4cad-a93a-3d9430ced38e','UId':'0c5fd020-9611-4d90-aa66-92ccdfee15d0','Col':2,'Row':19,'ColDynamic':2,'RowDynamic':17,'Format':'string','Value':'','TargetCode':''}</v>
      </c>
    </row>
    <row r="48" spans="1:1" x14ac:dyDescent="0.2">
      <c r="A48" t="str">
        <f>CONCATENATE("{'SheetId':'46a08105-9a54-4cad-a93a-3d9430ced38e'",",","'UId':'e04d85f5-30bc-4ff4-abcf-11f0c6179e33'",",'Col':",COLUMN(BCTaiSan_06134!C19),",'Row':",ROW(BCTaiSan_06134!C19),",","'ColDynamic':",COLUMN(BCTaiSan_06134!C17),",","'RowDynamic':",ROW(BCTaiSan_06134!C17),",","'Format':'string'",",'Value':'",SUBSTITUTE(BCTaiSan_06134!C19,"'","\'"),"','TargetCode':''}")</f>
        <v>{'SheetId':'46a08105-9a54-4cad-a93a-3d9430ced38e','UId':'e04d85f5-30bc-4ff4-abcf-11f0c6179e33','Col':3,'Row':19,'ColDynamic':3,'RowDynamic':17,'Format':'string','Value':'','TargetCode':''}</v>
      </c>
    </row>
    <row r="49" spans="1:1" x14ac:dyDescent="0.2">
      <c r="A49" t="str">
        <f>CONCATENATE("{'SheetId':'46a08105-9a54-4cad-a93a-3d9430ced38e'",",","'UId':'c387cc2b-1a7a-4c68-848e-44e344966be2'",",'Col':",COLUMN(BCTaiSan_06134!D19),",'Row':",ROW(BCTaiSan_06134!D19),",","'ColDynamic':",COLUMN(BCTaiSan_06134!D17),",","'RowDynamic':",ROW(BCTaiSan_06134!D17),",","'Format':'numberic'",",'Value':'",SUBSTITUTE(BCTaiSan_06134!D19,"'","\'"),"','TargetCode':''}")</f>
        <v>{'SheetId':'46a08105-9a54-4cad-a93a-3d9430ced38e','UId':'c387cc2b-1a7a-4c68-848e-44e344966be2','Col':4,'Row':19,'ColDynamic':4,'RowDynamic':17,'Format':'numberic','Value':'','TargetCode':''}</v>
      </c>
    </row>
    <row r="50" spans="1:1" x14ac:dyDescent="0.2">
      <c r="A50" t="str">
        <f>CONCATENATE("{'SheetId':'46a08105-9a54-4cad-a93a-3d9430ced38e'",",","'UId':'c21dbb00-29a8-44b4-9c15-f2e7810bfbc6'",",'Col':",COLUMN(BCTaiSan_06134!E19),",'Row':",ROW(BCTaiSan_06134!E19),",","'ColDynamic':",COLUMN(BCTaiSan_06134!E17),",","'RowDynamic':",ROW(BCTaiSan_06134!E17),",","'Format':'numberic'",",'Value':'",SUBSTITUTE(BCTaiSan_06134!E19,"'","\'"),"','TargetCode':''}")</f>
        <v>{'SheetId':'46a08105-9a54-4cad-a93a-3d9430ced38e','UId':'c21dbb00-29a8-44b4-9c15-f2e7810bfbc6','Col':5,'Row':19,'ColDynamic':5,'RowDynamic':17,'Format':'numberic','Value':'','TargetCode':''}</v>
      </c>
    </row>
    <row r="51" spans="1:1" x14ac:dyDescent="0.2">
      <c r="A51" t="str">
        <f>CONCATENATE("{'SheetId':'46a08105-9a54-4cad-a93a-3d9430ced38e'",",","'UId':'7dd4609f-ee7b-4367-a156-2053775d2866'",",'Col':",COLUMN(BCTaiSan_06134!F19),",'Row':",ROW(BCTaiSan_06134!F19),",","'ColDynamic':",COLUMN(BCTaiSan_06134!F17),",","'RowDynamic':",ROW(BCTaiSan_06134!F17),",","'Format':'numberic'",",'Value':'",SUBSTITUTE(BCTaiSan_06134!F19,"'","\'"),"','TargetCode':''}")</f>
        <v>{'SheetId':'46a08105-9a54-4cad-a93a-3d9430ced38e','UId':'7dd4609f-ee7b-4367-a156-2053775d2866','Col':6,'Row':19,'ColDynamic':6,'RowDynamic':17,'Format':'numberic','Value':'','TargetCode':''}</v>
      </c>
    </row>
    <row r="52" spans="1:1" x14ac:dyDescent="0.2">
      <c r="A52" t="str">
        <f>CONCATENATE("{'SheetId':'46a08105-9a54-4cad-a93a-3d9430ced38e'",",","'UId':'78d4fff8-b70b-45b8-be5f-d47ed35e21c7'",",'Col':",COLUMN(BCTaiSan_06134!D20),",'Row':",ROW(BCTaiSan_06134!D20),",","'Format':'numberic'",",'Value':'",SUBSTITUTE(BCTaiSan_06134!D20,"'","\'"),"','TargetCode':''}")</f>
        <v>{'SheetId':'46a08105-9a54-4cad-a93a-3d9430ced38e','UId':'78d4fff8-b70b-45b8-be5f-d47ed35e21c7','Col':4,'Row':20,'Format':'numberic','Value':'','TargetCode':''}</v>
      </c>
    </row>
    <row r="53" spans="1:1" x14ac:dyDescent="0.2">
      <c r="A53" t="str">
        <f>CONCATENATE("{'SheetId':'46a08105-9a54-4cad-a93a-3d9430ced38e'",",","'UId':'f8f44da9-e099-46ac-ab5d-5b1b6b08f8e1'",",'Col':",COLUMN(BCTaiSan_06134!E20),",'Row':",ROW(BCTaiSan_06134!E20),",","'Format':'numberic'",",'Value':'",SUBSTITUTE(BCTaiSan_06134!E20,"'","\'"),"','TargetCode':''}")</f>
        <v>{'SheetId':'46a08105-9a54-4cad-a93a-3d9430ced38e','UId':'f8f44da9-e099-46ac-ab5d-5b1b6b08f8e1','Col':5,'Row':20,'Format':'numberic','Value':'','TargetCode':''}</v>
      </c>
    </row>
    <row r="54" spans="1:1" x14ac:dyDescent="0.2">
      <c r="A54" t="str">
        <f>CONCATENATE("{'SheetId':'46a08105-9a54-4cad-a93a-3d9430ced38e'",",","'UId':'0c63de38-ce1c-49b2-b59e-608d18e5a649'",",'Col':",COLUMN(BCTaiSan_06134!F20),",'Row':",ROW(BCTaiSan_06134!F20),",","'Format':'numberic'",",'Value':'",SUBSTITUTE(BCTaiSan_06134!F20,"'","\'"),"','TargetCode':''}")</f>
        <v>{'SheetId':'46a08105-9a54-4cad-a93a-3d9430ced38e','UId':'0c63de38-ce1c-49b2-b59e-608d18e5a649','Col':6,'Row':20,'Format':'numberic','Value':'0','TargetCode':''}</v>
      </c>
    </row>
    <row r="55" spans="1:1" x14ac:dyDescent="0.2">
      <c r="A55" t="str">
        <f>CONCATENATE("{'SheetId':'46a08105-9a54-4cad-a93a-3d9430ced38e'",",","'UId':'5af9a376-1764-44e7-9757-8c9a47a39631'",",'Col':",COLUMN(BCTaiSan_06134!A22),",'Row':",ROW(BCTaiSan_06134!A22),",","'ColDynamic':",COLUMN(BCTaiSan_06134!A22),",","'RowDynamic':",ROW(BCTaiSan_06134!A22),",","'Format':'string'",",'Value':'",SUBSTITUTE(BCTaiSan_06134!A22,"'","\'"),"','TargetCode':''}")</f>
        <v>{'SheetId':'46a08105-9a54-4cad-a93a-3d9430ced38e','UId':'5af9a376-1764-44e7-9757-8c9a47a39631','Col':1,'Row':22,'ColDynamic':1,'RowDynamic':22,'Format':'string','Value':'I.7','TargetCode':''}</v>
      </c>
    </row>
    <row r="56" spans="1:1" x14ac:dyDescent="0.2">
      <c r="A56" t="str">
        <f>CONCATENATE("{'SheetId':'46a08105-9a54-4cad-a93a-3d9430ced38e'",",","'UId':'ca965063-5e9e-49ed-b407-8211c16e6faf'",",'Col':",COLUMN(BCTaiSan_06134!B22),",'Row':",ROW(BCTaiSan_06134!B22),",","'ColDynamic':",COLUMN(BCTaiSan_06134!B22),",","'RowDynamic':",ROW(BCTaiSan_06134!B22),",","'Format':'string'",",'Value':'",SUBSTITUTE(BCTaiSan_06134!B22,"'","\'"),"','TargetCode':''}")</f>
        <v>{'SheetId':'46a08105-9a54-4cad-a93a-3d9430ced38e','UId':'ca965063-5e9e-49ed-b407-8211c16e6faf','Col':2,'Row':22,'ColDynamic':2,'RowDynamic':22,'Format':'string','Value':'Tiền bán chứng khoán chờ thu','TargetCode':''}</v>
      </c>
    </row>
    <row r="57" spans="1:1" x14ac:dyDescent="0.2">
      <c r="A57" t="str">
        <f>CONCATENATE("{'SheetId':'46a08105-9a54-4cad-a93a-3d9430ced38e'",",","'UId':'d278713e-79fc-451f-a3e2-67c5de606236'",",'Col':",COLUMN(BCTaiSan_06134!C22),",'Row':",ROW(BCTaiSan_06134!C22),",","'ColDynamic':",COLUMN(BCTaiSan_06134!C22),",","'RowDynamic':",ROW(BCTaiSan_06134!C22),",","'Format':'string'",",'Value':'",SUBSTITUTE(BCTaiSan_06134!C22,"'","\'"),"','TargetCode':''}")</f>
        <v>{'SheetId':'46a08105-9a54-4cad-a93a-3d9430ced38e','UId':'d278713e-79fc-451f-a3e2-67c5de606236','Col':3,'Row':22,'ColDynamic':3,'RowDynamic':22,'Format':'string','Value':'2208','TargetCode':''}</v>
      </c>
    </row>
    <row r="58" spans="1:1" x14ac:dyDescent="0.2">
      <c r="A58" t="str">
        <f>CONCATENATE("{'SheetId':'46a08105-9a54-4cad-a93a-3d9430ced38e'",",","'UId':'6cab17db-9e06-416e-b177-303f4f0772b7'",",'Col':",COLUMN(BCTaiSan_06134!D22),",'Row':",ROW(BCTaiSan_06134!D22),",","'ColDynamic':",COLUMN(BCTaiSan_06134!D22),",","'RowDynamic':",ROW(BCTaiSan_06134!D22),",","'Format':'numberic'",",'Value':'",SUBSTITUTE(BCTaiSan_06134!D22,"'","\'"),"','TargetCode':''}")</f>
        <v>{'SheetId':'46a08105-9a54-4cad-a93a-3d9430ced38e','UId':'6cab17db-9e06-416e-b177-303f4f0772b7','Col':4,'Row':22,'ColDynamic':4,'RowDynamic':22,'Format':'numberic','Value':'','TargetCode':''}</v>
      </c>
    </row>
    <row r="59" spans="1:1" x14ac:dyDescent="0.2">
      <c r="A59" t="str">
        <f>CONCATENATE("{'SheetId':'46a08105-9a54-4cad-a93a-3d9430ced38e'",",","'UId':'423ede55-9cc9-4b5b-8e46-b0c242eb8727'",",'Col':",COLUMN(BCTaiSan_06134!E22),",'Row':",ROW(BCTaiSan_06134!E22),",","'ColDynamic':",COLUMN(BCTaiSan_06134!E22),",","'RowDynamic':",ROW(BCTaiSan_06134!E22),",","'Format':'numberic'",",'Value':'",SUBSTITUTE(BCTaiSan_06134!E22,"'","\'"),"','TargetCode':''}")</f>
        <v>{'SheetId':'46a08105-9a54-4cad-a93a-3d9430ced38e','UId':'423ede55-9cc9-4b5b-8e46-b0c242eb8727','Col':5,'Row':22,'ColDynamic':5,'RowDynamic':22,'Format':'numberic','Value':'','TargetCode':''}</v>
      </c>
    </row>
    <row r="60" spans="1:1" x14ac:dyDescent="0.2">
      <c r="A60" t="str">
        <f>CONCATENATE("{'SheetId':'46a08105-9a54-4cad-a93a-3d9430ced38e'",",","'UId':'4fe3ca38-8581-45d0-9674-4ed428556625'",",'Col':",COLUMN(BCTaiSan_06134!F22),",'Row':",ROW(BCTaiSan_06134!F22),",","'ColDynamic':",COLUMN(BCTaiSan_06134!F22),",","'RowDynamic':",ROW(BCTaiSan_06134!F22),",","'Format':'numberic'",",'Value':'",SUBSTITUTE(BCTaiSan_06134!F22,"'","\'"),"','TargetCode':''}")</f>
        <v>{'SheetId':'46a08105-9a54-4cad-a93a-3d9430ced38e','UId':'4fe3ca38-8581-45d0-9674-4ed428556625','Col':6,'Row':22,'ColDynamic':6,'RowDynamic':22,'Format':'numberic','Value':'0','TargetCode':''}</v>
      </c>
    </row>
    <row r="61" spans="1:1" x14ac:dyDescent="0.2">
      <c r="A61" t="str">
        <f>CONCATENATE("{'SheetId':'46a08105-9a54-4cad-a93a-3d9430ced38e'",",","'UId':'d7483d9d-b39b-44e4-a618-855255454363'",",'Col':",COLUMN(BCTaiSan_06134!A24),",'Row':",ROW(BCTaiSan_06134!A24),",","'ColDynamic':",COLUMN(BCTaiSan_06134!A20),",","'RowDynamic':",ROW(BCTaiSan_06134!A20),",","'Format':'string'",",'Value':'",SUBSTITUTE(BCTaiSan_06134!A24,"'","\'"),"','TargetCode':''}")</f>
        <v>{'SheetId':'46a08105-9a54-4cad-a93a-3d9430ced38e','UId':'d7483d9d-b39b-44e4-a618-855255454363','Col':1,'Row':24,'ColDynamic':1,'RowDynamic':20,'Format':'string','Value':'I.8','TargetCode':''}</v>
      </c>
    </row>
    <row r="62" spans="1:1" x14ac:dyDescent="0.2">
      <c r="A62" t="str">
        <f>CONCATENATE("{'SheetId':'46a08105-9a54-4cad-a93a-3d9430ced38e'",",","'UId':'b9b79d1f-30c3-45e8-99c0-75737357c377'",",'Col':",COLUMN(BCTaiSan_06134!B24),",'Row':",ROW(BCTaiSan_06134!B24),",","'ColDynamic':",COLUMN(BCTaiSan_06134!B20),",","'RowDynamic':",ROW(BCTaiSan_06134!B20),",","'Format':'string'",",'Value':'",SUBSTITUTE(BCTaiSan_06134!B24,"'","\'"),"','TargetCode':''}")</f>
        <v>{'SheetId':'46a08105-9a54-4cad-a93a-3d9430ced38e','UId':'b9b79d1f-30c3-45e8-99c0-75737357c377','Col':2,'Row':24,'ColDynamic':2,'RowDynamic':20,'Format':'string','Value':'Các khoản phải thu khác','TargetCode':''}</v>
      </c>
    </row>
    <row r="63" spans="1:1" x14ac:dyDescent="0.2">
      <c r="A63" t="str">
        <f>CONCATENATE("{'SheetId':'46a08105-9a54-4cad-a93a-3d9430ced38e'",",","'UId':'110a1b7d-f7e8-4836-a030-e136c64a6196'",",'Col':",COLUMN(BCTaiSan_06134!C24),",'Row':",ROW(BCTaiSan_06134!C24),",","'ColDynamic':",COLUMN(BCTaiSan_06134!C20),",","'RowDynamic':",ROW(BCTaiSan_06134!C20),",","'Format':'string'",",'Value':'",SUBSTITUTE(BCTaiSan_06134!C24,"'","\'"),"','TargetCode':''}")</f>
        <v>{'SheetId':'46a08105-9a54-4cad-a93a-3d9430ced38e','UId':'110a1b7d-f7e8-4836-a030-e136c64a6196','Col':3,'Row':24,'ColDynamic':3,'RowDynamic':20,'Format':'string','Value':'2210','TargetCode':''}</v>
      </c>
    </row>
    <row r="64" spans="1:1" x14ac:dyDescent="0.2">
      <c r="A64" t="str">
        <f>CONCATENATE("{'SheetId':'46a08105-9a54-4cad-a93a-3d9430ced38e'",",","'UId':'245502a2-a0d4-4824-b796-048d3206d0a0'",",'Col':",COLUMN(BCTaiSan_06134!D24),",'Row':",ROW(BCTaiSan_06134!D24),",","'ColDynamic':",COLUMN(BCTaiSan_06134!D20),",","'RowDynamic':",ROW(BCTaiSan_06134!D20),",","'Format':'numberic'",",'Value':'",SUBSTITUTE(BCTaiSan_06134!D24,"'","\'"),"','TargetCode':''}")</f>
        <v>{'SheetId':'46a08105-9a54-4cad-a93a-3d9430ced38e','UId':'245502a2-a0d4-4824-b796-048d3206d0a0','Col':4,'Row':24,'ColDynamic':4,'RowDynamic':20,'Format':'numberic','Value':'','TargetCode':''}</v>
      </c>
    </row>
    <row r="65" spans="1:1" x14ac:dyDescent="0.2">
      <c r="A65" t="str">
        <f>CONCATENATE("{'SheetId':'46a08105-9a54-4cad-a93a-3d9430ced38e'",",","'UId':'28f4f1c0-cc89-411e-8664-57cc193944d6'",",'Col':",COLUMN(BCTaiSan_06134!E24),",'Row':",ROW(BCTaiSan_06134!E24),",","'ColDynamic':",COLUMN(BCTaiSan_06134!E20),",","'RowDynamic':",ROW(BCTaiSan_06134!E20),",","'Format':'numberic'",",'Value':'",SUBSTITUTE(BCTaiSan_06134!E24,"'","\'"),"','TargetCode':''}")</f>
        <v>{'SheetId':'46a08105-9a54-4cad-a93a-3d9430ced38e','UId':'28f4f1c0-cc89-411e-8664-57cc193944d6','Col':5,'Row':24,'ColDynamic':5,'RowDynamic':20,'Format':'numberic','Value':'','TargetCode':''}</v>
      </c>
    </row>
    <row r="66" spans="1:1" x14ac:dyDescent="0.2">
      <c r="A66" t="str">
        <f>CONCATENATE("{'SheetId':'46a08105-9a54-4cad-a93a-3d9430ced38e'",",","'UId':'9e20ae2d-87ee-49de-8eeb-b0fb219f8fa4'",",'Col':",COLUMN(BCTaiSan_06134!F24),",'Row':",ROW(BCTaiSan_06134!F24),",","'ColDynamic':",COLUMN(BCTaiSan_06134!F20),",","'RowDynamic':",ROW(BCTaiSan_06134!F20),",","'Format':'numberic'",",'Value':'",SUBSTITUTE(BCTaiSan_06134!F24,"'","\'"),"','TargetCode':''}")</f>
        <v>{'SheetId':'46a08105-9a54-4cad-a93a-3d9430ced38e','UId':'9e20ae2d-87ee-49de-8eeb-b0fb219f8fa4','Col':6,'Row':24,'ColDynamic':6,'RowDynamic':20,'Format':'numberic','Value':'0','TargetCode':''}</v>
      </c>
    </row>
    <row r="67" spans="1:1" x14ac:dyDescent="0.2">
      <c r="A67" t="str">
        <f>CONCATENATE("{'SheetId':'46a08105-9a54-4cad-a93a-3d9430ced38e'",",","'UId':'682e053e-df5a-49e3-8c98-89509d42455d'",",'Col':",COLUMN(BCTaiSan_06134!A26),",'Row':",ROW(BCTaiSan_06134!A26),",","'ColDynamic':",COLUMN(BCTaiSan_06134!A22),",","'RowDynamic':",ROW(BCTaiSan_06134!A22),",","'Format':'string'",",'Value':'",SUBSTITUTE(BCTaiSan_06134!A26,"'","\'"),"','TargetCode':''}")</f>
        <v>{'SheetId':'46a08105-9a54-4cad-a93a-3d9430ced38e','UId':'682e053e-df5a-49e3-8c98-89509d42455d','Col':1,'Row':26,'ColDynamic':1,'RowDynamic':22,'Format':'string','Value':'','TargetCode':''}</v>
      </c>
    </row>
    <row r="68" spans="1:1" x14ac:dyDescent="0.2">
      <c r="A68" t="str">
        <f>CONCATENATE("{'SheetId':'46a08105-9a54-4cad-a93a-3d9430ced38e'",",","'UId':'ad960059-6bf6-4e05-b1a5-ab1db3389ed8'",",'Col':",COLUMN(BCTaiSan_06134!B26),",'Row':",ROW(BCTaiSan_06134!B26),",","'ColDynamic':",COLUMN(BCTaiSan_06134!B22),",","'RowDynamic':",ROW(BCTaiSan_06134!B22),",","'Format':'string'",",'Value':'",SUBSTITUTE(BCTaiSan_06134!B26,"'","\'"),"','TargetCode':''}")</f>
        <v>{'SheetId':'46a08105-9a54-4cad-a93a-3d9430ced38e','UId':'ad960059-6bf6-4e05-b1a5-ab1db3389ed8','Col':2,'Row':26,'ColDynamic':2,'RowDynamic':22,'Format':'string','Value':'','TargetCode':''}</v>
      </c>
    </row>
    <row r="69" spans="1:1" x14ac:dyDescent="0.2">
      <c r="A69" t="str">
        <f>CONCATENATE("{'SheetId':'46a08105-9a54-4cad-a93a-3d9430ced38e'",",","'UId':'8be82420-1a6e-4aac-9d47-11312c4b0623'",",'Col':",COLUMN(BCTaiSan_06134!C26),",'Row':",ROW(BCTaiSan_06134!C26),",","'ColDynamic':",COLUMN(BCTaiSan_06134!C22),",","'RowDynamic':",ROW(BCTaiSan_06134!C22),",","'Format':'string'",",'Value':'",SUBSTITUTE(BCTaiSan_06134!C26,"'","\'"),"','TargetCode':''}")</f>
        <v>{'SheetId':'46a08105-9a54-4cad-a93a-3d9430ced38e','UId':'8be82420-1a6e-4aac-9d47-11312c4b0623','Col':3,'Row':26,'ColDynamic':3,'RowDynamic':22,'Format':'string','Value':'','TargetCode':''}</v>
      </c>
    </row>
    <row r="70" spans="1:1" x14ac:dyDescent="0.2">
      <c r="A70" t="str">
        <f>CONCATENATE("{'SheetId':'46a08105-9a54-4cad-a93a-3d9430ced38e'",",","'UId':'ce08ca88-9259-42c8-8c5a-a5c2edca177e'",",'Col':",COLUMN(BCTaiSan_06134!D26),",'Row':",ROW(BCTaiSan_06134!D26),",","'ColDynamic':",COLUMN(BCTaiSan_06134!D22),",","'RowDynamic':",ROW(BCTaiSan_06134!D22),",","'Format':'numberic'",",'Value':'",SUBSTITUTE(BCTaiSan_06134!D26,"'","\'"),"','TargetCode':''}")</f>
        <v>{'SheetId':'46a08105-9a54-4cad-a93a-3d9430ced38e','UId':'ce08ca88-9259-42c8-8c5a-a5c2edca177e','Col':4,'Row':26,'ColDynamic':4,'RowDynamic':22,'Format':'numberic','Value':'','TargetCode':''}</v>
      </c>
    </row>
    <row r="71" spans="1:1" x14ac:dyDescent="0.2">
      <c r="A71" t="str">
        <f>CONCATENATE("{'SheetId':'46a08105-9a54-4cad-a93a-3d9430ced38e'",",","'UId':'c91e7474-86a0-4d43-b495-fb18672e7d33'",",'Col':",COLUMN(BCTaiSan_06134!E26),",'Row':",ROW(BCTaiSan_06134!E26),",","'ColDynamic':",COLUMN(BCTaiSan_06134!E22),",","'RowDynamic':",ROW(BCTaiSan_06134!E22),",","'Format':'numberic'",",'Value':'",SUBSTITUTE(BCTaiSan_06134!E26,"'","\'"),"','TargetCode':''}")</f>
        <v>{'SheetId':'46a08105-9a54-4cad-a93a-3d9430ced38e','UId':'c91e7474-86a0-4d43-b495-fb18672e7d33','Col':5,'Row':26,'ColDynamic':5,'RowDynamic':22,'Format':'numberic','Value':'','TargetCode':''}</v>
      </c>
    </row>
    <row r="72" spans="1:1" x14ac:dyDescent="0.2">
      <c r="A72" t="str">
        <f>CONCATENATE("{'SheetId':'46a08105-9a54-4cad-a93a-3d9430ced38e'",",","'UId':'5671bdb8-5dd8-49bd-9fc7-e41bb5962a3f'",",'Col':",COLUMN(BCTaiSan_06134!F26),",'Row':",ROW(BCTaiSan_06134!F26),",","'ColDynamic':",COLUMN(BCTaiSan_06134!F22),",","'RowDynamic':",ROW(BCTaiSan_06134!F22),",","'Format':'numberic'",",'Value':'",SUBSTITUTE(BCTaiSan_06134!F26,"'","\'"),"','TargetCode':''}")</f>
        <v>{'SheetId':'46a08105-9a54-4cad-a93a-3d9430ced38e','UId':'5671bdb8-5dd8-49bd-9fc7-e41bb5962a3f','Col':6,'Row':26,'ColDynamic':6,'RowDynamic':22,'Format':'numberic','Value':'','TargetCode':''}</v>
      </c>
    </row>
    <row r="73" spans="1:1" x14ac:dyDescent="0.2">
      <c r="A73" t="str">
        <f>CONCATENATE("{'SheetId':'46a08105-9a54-4cad-a93a-3d9430ced38e'",",","'UId':'b6fe5201-7570-4928-8d5b-32fb54f23d31'",",'Col':",COLUMN(BCTaiSan_06134!D27),",'Row':",ROW(BCTaiSan_06134!D27),",","'Format':'numberic'",",'Value':'",SUBSTITUTE(BCTaiSan_06134!D27,"'","\'"),"','TargetCode':''}")</f>
        <v>{'SheetId':'46a08105-9a54-4cad-a93a-3d9430ced38e','UId':'b6fe5201-7570-4928-8d5b-32fb54f23d31','Col':4,'Row':27,'Format':'numberic','Value':'27665751','TargetCode':''}</v>
      </c>
    </row>
    <row r="74" spans="1:1" x14ac:dyDescent="0.2">
      <c r="A74" t="str">
        <f>CONCATENATE("{'SheetId':'46a08105-9a54-4cad-a93a-3d9430ced38e'",",","'UId':'f8f7c8c6-5bf1-49e8-ac81-2805dde40553'",",'Col':",COLUMN(BCTaiSan_06134!E27),",'Row':",ROW(BCTaiSan_06134!E27),",","'Format':'numberic'",",'Value':'",SUBSTITUTE(BCTaiSan_06134!E27,"'","\'"),"','TargetCode':''}")</f>
        <v>{'SheetId':'46a08105-9a54-4cad-a93a-3d9430ced38e','UId':'f8f7c8c6-5bf1-49e8-ac81-2805dde40553','Col':5,'Row':27,'Format':'numberic','Value':'30197259','TargetCode':''}</v>
      </c>
    </row>
    <row r="75" spans="1:1" x14ac:dyDescent="0.2">
      <c r="A75" t="str">
        <f>CONCATENATE("{'SheetId':'46a08105-9a54-4cad-a93a-3d9430ced38e'",",","'UId':'49e8e3bc-ce90-484a-88fe-e7ecef77acf1'",",'Col':",COLUMN(BCTaiSan_06134!F27),",'Row':",ROW(BCTaiSan_06134!F27),",","'Format':'numberic'",",'Value':'",SUBSTITUTE(BCTaiSan_06134!F27,"'","\'"),"','TargetCode':''}")</f>
        <v>{'SheetId':'46a08105-9a54-4cad-a93a-3d9430ced38e','UId':'49e8e3bc-ce90-484a-88fe-e7ecef77acf1','Col':6,'Row':27,'Format':'numberic','Value':'0','TargetCode':''}</v>
      </c>
    </row>
    <row r="76" spans="1:1" x14ac:dyDescent="0.2">
      <c r="A76" t="str">
        <f>CONCATENATE("{'SheetId':'46a08105-9a54-4cad-a93a-3d9430ced38e'",",","'UId':'ceb810f8-0a33-497b-af97-bfbc1aedee4c'",",'Col':",COLUMN(BCTaiSan_06134!A29),",'Row':",ROW(BCTaiSan_06134!A29),",","'ColDynamic':",COLUMN(BCTaiSan_06134!A25),",","'RowDynamic':",ROW(BCTaiSan_06134!A25),",","'Format':'string'",",'Value':'",SUBSTITUTE(BCTaiSan_06134!A29,"'","\'"),"','TargetCode':''}")</f>
        <v>{'SheetId':'46a08105-9a54-4cad-a93a-3d9430ced38e','UId':'ceb810f8-0a33-497b-af97-bfbc1aedee4c','Col':1,'Row':29,'ColDynamic':1,'RowDynamic':25,'Format':'string','Value':'','TargetCode':''}</v>
      </c>
    </row>
    <row r="77" spans="1:1" x14ac:dyDescent="0.2">
      <c r="A77" t="str">
        <f>CONCATENATE("{'SheetId':'46a08105-9a54-4cad-a93a-3d9430ced38e'",",","'UId':'d90d9643-66df-4743-9f2e-312ccace0e04'",",'Col':",COLUMN(BCTaiSan_06134!B29),",'Row':",ROW(BCTaiSan_06134!B29),",","'ColDynamic':",COLUMN(BCTaiSan_06134!B25),",","'RowDynamic':",ROW(BCTaiSan_06134!B25),",","'Format':'string'",",'Value':'",SUBSTITUTE(BCTaiSan_06134!B29,"'","\'"),"','TargetCode':''}")</f>
        <v>{'SheetId':'46a08105-9a54-4cad-a93a-3d9430ced38e','UId':'d90d9643-66df-4743-9f2e-312ccace0e04','Col':2,'Row':29,'ColDynamic':2,'RowDynamic':25,'Format':'string','Value':'','TargetCode':''}</v>
      </c>
    </row>
    <row r="78" spans="1:1" x14ac:dyDescent="0.2">
      <c r="A78" t="str">
        <f>CONCATENATE("{'SheetId':'46a08105-9a54-4cad-a93a-3d9430ced38e'",",","'UId':'7cbd8687-c3ba-4a6b-9522-7be60ca36d5b'",",'Col':",COLUMN(BCTaiSan_06134!C29),",'Row':",ROW(BCTaiSan_06134!C29),",","'ColDynamic':",COLUMN(BCTaiSan_06134!C25),",","'RowDynamic':",ROW(BCTaiSan_06134!C25),",","'Format':'string'",",'Value':'",SUBSTITUTE(BCTaiSan_06134!C29,"'","\'"),"','TargetCode':''}")</f>
        <v>{'SheetId':'46a08105-9a54-4cad-a93a-3d9430ced38e','UId':'7cbd8687-c3ba-4a6b-9522-7be60ca36d5b','Col':3,'Row':29,'ColDynamic':3,'RowDynamic':25,'Format':'string','Value':'','TargetCode':''}</v>
      </c>
    </row>
    <row r="79" spans="1:1" x14ac:dyDescent="0.2">
      <c r="A79" t="str">
        <f>CONCATENATE("{'SheetId':'46a08105-9a54-4cad-a93a-3d9430ced38e'",",","'UId':'92fbbf9a-547f-471e-98c8-cdc2dcd7a5bd'",",'Col':",COLUMN(BCTaiSan_06134!D29),",'Row':",ROW(BCTaiSan_06134!D29),",","'ColDynamic':",COLUMN(BCTaiSan_06134!D25),",","'RowDynamic':",ROW(BCTaiSan_06134!D25),",","'Format':'numberic'",",'Value':'",SUBSTITUTE(BCTaiSan_06134!D29,"'","\'"),"','TargetCode':''}")</f>
        <v>{'SheetId':'46a08105-9a54-4cad-a93a-3d9430ced38e','UId':'92fbbf9a-547f-471e-98c8-cdc2dcd7a5bd','Col':4,'Row':29,'ColDynamic':4,'RowDynamic':25,'Format':'numberic','Value':'','TargetCode':''}</v>
      </c>
    </row>
    <row r="80" spans="1:1" x14ac:dyDescent="0.2">
      <c r="A80" t="str">
        <f>CONCATENATE("{'SheetId':'46a08105-9a54-4cad-a93a-3d9430ced38e'",",","'UId':'0b228c9c-b66e-41bf-96f6-998082a34178'",",'Col':",COLUMN(BCTaiSan_06134!E29),",'Row':",ROW(BCTaiSan_06134!E29),",","'ColDynamic':",COLUMN(BCTaiSan_06134!E25),",","'RowDynamic':",ROW(BCTaiSan_06134!E25),",","'Format':'numberic'",",'Value':'",SUBSTITUTE(BCTaiSan_06134!E29,"'","\'"),"','TargetCode':''}")</f>
        <v>{'SheetId':'46a08105-9a54-4cad-a93a-3d9430ced38e','UId':'0b228c9c-b66e-41bf-96f6-998082a34178','Col':5,'Row':29,'ColDynamic':5,'RowDynamic':25,'Format':'numberic','Value':'','TargetCode':''}</v>
      </c>
    </row>
    <row r="81" spans="1:1" x14ac:dyDescent="0.2">
      <c r="A81" t="str">
        <f>CONCATENATE("{'SheetId':'46a08105-9a54-4cad-a93a-3d9430ced38e'",",","'UId':'1c44aa4a-f065-4d78-a628-2321d169768b'",",'Col':",COLUMN(BCTaiSan_06134!F29),",'Row':",ROW(BCTaiSan_06134!F29),",","'ColDynamic':",COLUMN(BCTaiSan_06134!F25),",","'RowDynamic':",ROW(BCTaiSan_06134!F25),",","'Format':'numberic'",",'Value':'",SUBSTITUTE(BCTaiSan_06134!F29,"'","\'"),"','TargetCode':''}")</f>
        <v>{'SheetId':'46a08105-9a54-4cad-a93a-3d9430ced38e','UId':'1c44aa4a-f065-4d78-a628-2321d169768b','Col':6,'Row':29,'ColDynamic':6,'RowDynamic':25,'Format':'numberic','Value':'','TargetCode':''}</v>
      </c>
    </row>
    <row r="82" spans="1:1" x14ac:dyDescent="0.2">
      <c r="A82" t="str">
        <f>CONCATENATE("{'SheetId':'46a08105-9a54-4cad-a93a-3d9430ced38e'",",","'UId':'a0fa3e29-b07c-44b0-9f51-31b5599e0e91'",",'Col':",COLUMN(BCTaiSan_06134!D30),",'Row':",ROW(BCTaiSan_06134!D30),",","'Format':'numberic'",",'Value':'",SUBSTITUTE(BCTaiSan_06134!D30,"'","\'"),"','TargetCode':''}")</f>
        <v>{'SheetId':'46a08105-9a54-4cad-a93a-3d9430ced38e','UId':'a0fa3e29-b07c-44b0-9f51-31b5599e0e91','Col':4,'Row':30,'Format':'numberic','Value':'68716915417','TargetCode':''}</v>
      </c>
    </row>
    <row r="83" spans="1:1" x14ac:dyDescent="0.2">
      <c r="A83" t="str">
        <f>CONCATENATE("{'SheetId':'46a08105-9a54-4cad-a93a-3d9430ced38e'",",","'UId':'58eec11c-f1ec-45d5-a577-8b6d4b2803ec'",",'Col':",COLUMN(BCTaiSan_06134!E30),",'Row':",ROW(BCTaiSan_06134!E30),",","'Format':'numberic'",",'Value':'",SUBSTITUTE(BCTaiSan_06134!E30,"'","\'"),"','TargetCode':''}")</f>
        <v>{'SheetId':'46a08105-9a54-4cad-a93a-3d9430ced38e','UId':'58eec11c-f1ec-45d5-a577-8b6d4b2803ec','Col':5,'Row':30,'Format':'numberic','Value':'68884721553','TargetCode':''}</v>
      </c>
    </row>
    <row r="84" spans="1:1" x14ac:dyDescent="0.2">
      <c r="A84" t="str">
        <f>CONCATENATE("{'SheetId':'46a08105-9a54-4cad-a93a-3d9430ced38e'",",","'UId':'f6cfb133-2acc-4141-9f9a-071ba90dd1b7'",",'Col':",COLUMN(BCTaiSan_06134!F30),",'Row':",ROW(BCTaiSan_06134!F30),",","'Format':'numberic'",",'Value':'",SUBSTITUTE(BCTaiSan_06134!F30,"'","\'"),"','TargetCode':''}")</f>
        <v>{'SheetId':'46a08105-9a54-4cad-a93a-3d9430ced38e','UId':'f6cfb133-2acc-4141-9f9a-071ba90dd1b7','Col':6,'Row':30,'Format':'numberic','Value':'0','TargetCode':''}</v>
      </c>
    </row>
    <row r="85" spans="1:1" x14ac:dyDescent="0.2">
      <c r="A85" t="str">
        <f>CONCATENATE("{'SheetId':'46a08105-9a54-4cad-a93a-3d9430ced38e'",",","'UId':'3b66b7c3-6807-4883-83ca-7181acde9e92'",",'Col':",COLUMN(BCTaiSan_06134!D32),",'Row':",ROW(BCTaiSan_06134!D32),",","'Format':'numberic'",",'Value':'",SUBSTITUTE(BCTaiSan_06134!D32,"'","\'"),"','TargetCode':''}")</f>
        <v>{'SheetId':'46a08105-9a54-4cad-a93a-3d9430ced38e','UId':'3b66b7c3-6807-4883-83ca-7181acde9e92','Col':4,'Row':32,'Format':'numberic','Value':'','TargetCode':''}</v>
      </c>
    </row>
    <row r="86" spans="1:1" x14ac:dyDescent="0.2">
      <c r="A86" t="str">
        <f>CONCATENATE("{'SheetId':'46a08105-9a54-4cad-a93a-3d9430ced38e'",",","'UId':'24bc5dd5-a7ba-46e5-8603-ad2982a19492'",",'Col':",COLUMN(BCTaiSan_06134!E32),",'Row':",ROW(BCTaiSan_06134!E32),",","'Format':'numberic'",",'Value':'",SUBSTITUTE(BCTaiSan_06134!E32,"'","\'"),"','TargetCode':''}")</f>
        <v>{'SheetId':'46a08105-9a54-4cad-a93a-3d9430ced38e','UId':'24bc5dd5-a7ba-46e5-8603-ad2982a19492','Col':5,'Row':32,'Format':'numberic','Value':'','TargetCode':''}</v>
      </c>
    </row>
    <row r="87" spans="1:1" x14ac:dyDescent="0.2">
      <c r="A87" t="str">
        <f>CONCATENATE("{'SheetId':'46a08105-9a54-4cad-a93a-3d9430ced38e'",",","'UId':'d01cade2-4ce5-4ed9-8a02-d715744fd63c'",",'Col':",COLUMN(BCTaiSan_06134!F32),",'Row':",ROW(BCTaiSan_06134!F32),",","'Format':'numberic'",",'Value':'",SUBSTITUTE(BCTaiSan_06134!F32,"'","\'"),"','TargetCode':''}")</f>
        <v>{'SheetId':'46a08105-9a54-4cad-a93a-3d9430ced38e','UId':'d01cade2-4ce5-4ed9-8a02-d715744fd63c','Col':6,'Row':32,'Format':'numberic','Value':'','TargetCode':''}</v>
      </c>
    </row>
    <row r="88" spans="1:1" x14ac:dyDescent="0.2">
      <c r="A88" t="str">
        <f>CONCATENATE("{'SheetId':'46a08105-9a54-4cad-a93a-3d9430ced38e'",",","'UId':'5d2107a1-074d-4219-8ea0-98f3bee17f35'",",'Col':",COLUMN(BCTaiSan_06134!A34),",'Row':",ROW(BCTaiSan_06134!A34),",","'ColDynamic':",COLUMN(BCTaiSan_06134!A34),",","'RowDynamic':",ROW(BCTaiSan_06134!A34),",","'Format':'string'",",'Value':'",SUBSTITUTE(BCTaiSan_06134!A34,"'","\'"),"','TargetCode':''}")</f>
        <v>{'SheetId':'46a08105-9a54-4cad-a93a-3d9430ced38e','UId':'5d2107a1-074d-4219-8ea0-98f3bee17f35','Col':1,'Row':34,'ColDynamic':1,'RowDynamic':34,'Format':'string','Value':'II.2','TargetCode':''}</v>
      </c>
    </row>
    <row r="89" spans="1:1" x14ac:dyDescent="0.2">
      <c r="A89" t="str">
        <f>CONCATENATE("{'SheetId':'46a08105-9a54-4cad-a93a-3d9430ced38e'",",","'UId':'2ae6452d-76f0-4af6-807d-45d74bde1183'",",'Col':",COLUMN(BCTaiSan_06134!B34),",'Row':",ROW(BCTaiSan_06134!B34),",","'ColDynamic':",COLUMN(BCTaiSan_06134!B34),",","'RowDynamic':",ROW(BCTaiSan_06134!B34),",","'Format':'string'",",'Value':'",SUBSTITUTE(BCTaiSan_06134!B34,"'","\'"),"','TargetCode':''}")</f>
        <v>{'SheetId':'46a08105-9a54-4cad-a93a-3d9430ced38e','UId':'2ae6452d-76f0-4af6-807d-45d74bde1183','Col':2,'Row':34,'ColDynamic':2,'RowDynamic':34,'Format':'string','Value':'Tiền phải thanh toán mua chứng khoán (kê chi tiết)','TargetCode':''}</v>
      </c>
    </row>
    <row r="90" spans="1:1" x14ac:dyDescent="0.2">
      <c r="A90" t="str">
        <f>CONCATENATE("{'SheetId':'46a08105-9a54-4cad-a93a-3d9430ced38e'",",","'UId':'7b37e0f3-84a0-41c3-91b1-277ccbc808fe'",",'Col':",COLUMN(BCTaiSan_06134!C34),",'Row':",ROW(BCTaiSan_06134!C34),",","'ColDynamic':",COLUMN(BCTaiSan_06134!C34),",","'RowDynamic':",ROW(BCTaiSan_06134!C34),",","'Format':'string'",",'Value':'",SUBSTITUTE(BCTaiSan_06134!C34,"'","\'"),"','TargetCode':''}")</f>
        <v>{'SheetId':'46a08105-9a54-4cad-a93a-3d9430ced38e','UId':'7b37e0f3-84a0-41c3-91b1-277ccbc808fe','Col':3,'Row':34,'ColDynamic':3,'RowDynamic':34,'Format':'string','Value':'2214','TargetCode':''}</v>
      </c>
    </row>
    <row r="91" spans="1:1" x14ac:dyDescent="0.2">
      <c r="A91" t="str">
        <f>CONCATENATE("{'SheetId':'46a08105-9a54-4cad-a93a-3d9430ced38e'",",","'UId':'c8ba72d2-78ac-44f9-b7f9-edfbe4e8fffd'",",'Col':",COLUMN(BCTaiSan_06134!D34),",'Row':",ROW(BCTaiSan_06134!D34),",","'ColDynamic':",COLUMN(BCTaiSan_06134!D34),",","'RowDynamic':",ROW(BCTaiSan_06134!D34),",","'Format':'numberic'",",'Value':'",SUBSTITUTE(BCTaiSan_06134!D34,"'","\'"),"','TargetCode':''}")</f>
        <v>{'SheetId':'46a08105-9a54-4cad-a93a-3d9430ced38e','UId':'c8ba72d2-78ac-44f9-b7f9-edfbe4e8fffd','Col':4,'Row':34,'ColDynamic':4,'RowDynamic':34,'Format':'numberic','Value':'','TargetCode':''}</v>
      </c>
    </row>
    <row r="92" spans="1:1" x14ac:dyDescent="0.2">
      <c r="A92" t="str">
        <f>CONCATENATE("{'SheetId':'46a08105-9a54-4cad-a93a-3d9430ced38e'",",","'UId':'e106b138-9dda-4522-b11b-ba816ed24452'",",'Col':",COLUMN(BCTaiSan_06134!E34),",'Row':",ROW(BCTaiSan_06134!E34),",","'ColDynamic':",COLUMN(BCTaiSan_06134!E34),",","'RowDynamic':",ROW(BCTaiSan_06134!E34),",","'Format':'numberic'",",'Value':'",SUBSTITUTE(BCTaiSan_06134!E34,"'","\'"),"','TargetCode':''}")</f>
        <v>{'SheetId':'46a08105-9a54-4cad-a93a-3d9430ced38e','UId':'e106b138-9dda-4522-b11b-ba816ed24452','Col':5,'Row':34,'ColDynamic':5,'RowDynamic':34,'Format':'numberic','Value':'','TargetCode':''}</v>
      </c>
    </row>
    <row r="93" spans="1:1" x14ac:dyDescent="0.2">
      <c r="A93" t="str">
        <f>CONCATENATE("{'SheetId':'46a08105-9a54-4cad-a93a-3d9430ced38e'",",","'UId':'13d8babb-8090-48ba-b19c-29b9373e978d'",",'Col':",COLUMN(BCTaiSan_06134!F34),",'Row':",ROW(BCTaiSan_06134!F34),",","'ColDynamic':",COLUMN(BCTaiSan_06134!F34),",","'RowDynamic':",ROW(BCTaiSan_06134!F34),",","'Format':'numberic'",",'Value':'",SUBSTITUTE(BCTaiSan_06134!F34,"'","\'"),"','TargetCode':''}")</f>
        <v>{'SheetId':'46a08105-9a54-4cad-a93a-3d9430ced38e','UId':'13d8babb-8090-48ba-b19c-29b9373e978d','Col':6,'Row':34,'ColDynamic':6,'RowDynamic':34,'Format':'numberic','Value':'0','TargetCode':''}</v>
      </c>
    </row>
    <row r="94" spans="1:1" x14ac:dyDescent="0.2">
      <c r="A94" t="str">
        <f>CONCATENATE("{'SheetId':'46a08105-9a54-4cad-a93a-3d9430ced38e'",",","'UId':'40cf45e8-712e-489a-93de-bbba2c42d248'",",'Col':",COLUMN(BCTaiSan_06134!A36),",'Row':",ROW(BCTaiSan_06134!A36),",","'ColDynamic':",COLUMN(BCTaiSan_06134!A30),",","'RowDynamic':",ROW(BCTaiSan_06134!A30),",","'Format':'string'",",'Value':'",SUBSTITUTE(BCTaiSan_06134!A36,"'","\'"),"','TargetCode':''}")</f>
        <v>{'SheetId':'46a08105-9a54-4cad-a93a-3d9430ced38e','UId':'40cf45e8-712e-489a-93de-bbba2c42d248','Col':1,'Row':36,'ColDynamic':1,'RowDynamic':30,'Format':'string','Value':'II.3','TargetCode':''}</v>
      </c>
    </row>
    <row r="95" spans="1:1" x14ac:dyDescent="0.2">
      <c r="A95" t="str">
        <f>CONCATENATE("{'SheetId':'46a08105-9a54-4cad-a93a-3d9430ced38e'",",","'UId':'207c386a-2098-400a-ba5c-e6ef7d148095'",",'Col':",COLUMN(BCTaiSan_06134!B36),",'Row':",ROW(BCTaiSan_06134!B36),",","'ColDynamic':",COLUMN(BCTaiSan_06134!B30),",","'RowDynamic':",ROW(BCTaiSan_06134!B30),",","'Format':'string'",",'Value':'",SUBSTITUTE(BCTaiSan_06134!B36,"'","\'"),"','TargetCode':''}")</f>
        <v>{'SheetId':'46a08105-9a54-4cad-a93a-3d9430ced38e','UId':'207c386a-2098-400a-ba5c-e6ef7d148095','Col':2,'Row':36,'ColDynamic':2,'RowDynamic':30,'Format':'string','Value':'Các khoản phải trả khác','TargetCode':''}</v>
      </c>
    </row>
    <row r="96" spans="1:1" x14ac:dyDescent="0.2">
      <c r="A96" t="str">
        <f>CONCATENATE("{'SheetId':'46a08105-9a54-4cad-a93a-3d9430ced38e'",",","'UId':'ee419f80-7a2b-4c6f-ba27-f5af5a5ba09f'",",'Col':",COLUMN(BCTaiSan_06134!C36),",'Row':",ROW(BCTaiSan_06134!C36),",","'ColDynamic':",COLUMN(BCTaiSan_06134!C30),",","'RowDynamic':",ROW(BCTaiSan_06134!C30),",","'Format':'string'",",'Value':'",SUBSTITUTE(BCTaiSan_06134!C36,"'","\'"),"','TargetCode':''}")</f>
        <v>{'SheetId':'46a08105-9a54-4cad-a93a-3d9430ced38e','UId':'ee419f80-7a2b-4c6f-ba27-f5af5a5ba09f','Col':3,'Row':36,'ColDynamic':3,'RowDynamic':30,'Format':'string','Value':'2215','TargetCode':''}</v>
      </c>
    </row>
    <row r="97" spans="1:1" x14ac:dyDescent="0.2">
      <c r="A97" t="str">
        <f>CONCATENATE("{'SheetId':'46a08105-9a54-4cad-a93a-3d9430ced38e'",",","'UId':'0e3fa2c4-86b6-4169-b521-2227d0dbad78'",",'Col':",COLUMN(BCTaiSan_06134!D36),",'Row':",ROW(BCTaiSan_06134!D36),",","'ColDynamic':",COLUMN(BCTaiSan_06134!D30),",","'RowDynamic':",ROW(BCTaiSan_06134!D30),",","'Format':'numberic'",",'Value':'",SUBSTITUTE(BCTaiSan_06134!D36,"'","\'"),"','TargetCode':''}")</f>
        <v>{'SheetId':'46a08105-9a54-4cad-a93a-3d9430ced38e','UId':'0e3fa2c4-86b6-4169-b521-2227d0dbad78','Col':4,'Row':36,'ColDynamic':4,'RowDynamic':30,'Format':'numberic','Value':'203285883','TargetCode':''}</v>
      </c>
    </row>
    <row r="98" spans="1:1" x14ac:dyDescent="0.2">
      <c r="A98" t="str">
        <f>CONCATENATE("{'SheetId':'46a08105-9a54-4cad-a93a-3d9430ced38e'",",","'UId':'9ca69054-c6d7-464a-b2e4-05efaf90aab8'",",'Col':",COLUMN(BCTaiSan_06134!E36),",'Row':",ROW(BCTaiSan_06134!E36),",","'ColDynamic':",COLUMN(BCTaiSan_06134!E30),",","'RowDynamic':",ROW(BCTaiSan_06134!E30),",","'Format':'numberic'",",'Value':'",SUBSTITUTE(BCTaiSan_06134!E36,"'","\'"),"','TargetCode':''}")</f>
        <v>{'SheetId':'46a08105-9a54-4cad-a93a-3d9430ced38e','UId':'9ca69054-c6d7-464a-b2e4-05efaf90aab8','Col':5,'Row':36,'ColDynamic':5,'RowDynamic':30,'Format':'numberic','Value':'139021299','TargetCode':''}</v>
      </c>
    </row>
    <row r="99" spans="1:1" x14ac:dyDescent="0.2">
      <c r="A99" t="str">
        <f>CONCATENATE("{'SheetId':'46a08105-9a54-4cad-a93a-3d9430ced38e'",",","'UId':'248a9a3c-f848-4c31-9236-fc1fc2640653'",",'Col':",COLUMN(BCTaiSan_06134!F36),",'Row':",ROW(BCTaiSan_06134!F36),",","'ColDynamic':",COLUMN(BCTaiSan_06134!F30),",","'RowDynamic':",ROW(BCTaiSan_06134!F30),",","'Format':'numberic'",",'Value':'",SUBSTITUTE(BCTaiSan_06134!F36,"'","\'"),"','TargetCode':''}")</f>
        <v>{'SheetId':'46a08105-9a54-4cad-a93a-3d9430ced38e','UId':'248a9a3c-f848-4c31-9236-fc1fc2640653','Col':6,'Row':36,'ColDynamic':6,'RowDynamic':30,'Format':'numberic','Value':'0','TargetCode':''}</v>
      </c>
    </row>
    <row r="100" spans="1:1" x14ac:dyDescent="0.2">
      <c r="A100" t="str">
        <f>CONCATENATE("{'SheetId':'46a08105-9a54-4cad-a93a-3d9430ced38e'",",","'UId':'6a17df4b-c8e7-49b5-bada-6d47697e4dc1'",",'Col':",COLUMN(BCTaiSan_06134!A38),",'Row':",ROW(BCTaiSan_06134!A38),",","'ColDynamic':",COLUMN(BCTaiSan_06134!A32),",","'RowDynamic':",ROW(BCTaiSan_06134!A32),",","'Format':'string'",",'Value':'",SUBSTITUTE(BCTaiSan_06134!A38,"'","\'"),"','TargetCode':''}")</f>
        <v>{'SheetId':'46a08105-9a54-4cad-a93a-3d9430ced38e','UId':'6a17df4b-c8e7-49b5-bada-6d47697e4dc1','Col':1,'Row':38,'ColDynamic':1,'RowDynamic':32,'Format':'string','Value':'','TargetCode':''}</v>
      </c>
    </row>
    <row r="101" spans="1:1" x14ac:dyDescent="0.2">
      <c r="A101" t="str">
        <f>CONCATENATE("{'SheetId':'46a08105-9a54-4cad-a93a-3d9430ced38e'",",","'UId':'49acb6d6-babe-401d-98ef-8d9063085c11'",",'Col':",COLUMN(BCTaiSan_06134!B38),",'Row':",ROW(BCTaiSan_06134!B38),",","'ColDynamic':",COLUMN(BCTaiSan_06134!B32),",","'RowDynamic':",ROW(BCTaiSan_06134!B32),",","'Format':'string'",",'Value':'",SUBSTITUTE(BCTaiSan_06134!B38,"'","\'"),"','TargetCode':''}")</f>
        <v>{'SheetId':'46a08105-9a54-4cad-a93a-3d9430ced38e','UId':'49acb6d6-babe-401d-98ef-8d9063085c11','Col':2,'Row':38,'ColDynamic':2,'RowDynamic':32,'Format':'string','Value':'','TargetCode':''}</v>
      </c>
    </row>
    <row r="102" spans="1:1" x14ac:dyDescent="0.2">
      <c r="A102" t="str">
        <f>CONCATENATE("{'SheetId':'46a08105-9a54-4cad-a93a-3d9430ced38e'",",","'UId':'1cb9c1a9-b52b-467b-9e00-1c9d81b8e789'",",'Col':",COLUMN(BCTaiSan_06134!C38),",'Row':",ROW(BCTaiSan_06134!C38),",","'ColDynamic':",COLUMN(BCTaiSan_06134!C32),",","'RowDynamic':",ROW(BCTaiSan_06134!C32),",","'Format':'string'",",'Value':'",SUBSTITUTE(BCTaiSan_06134!C38,"'","\'"),"','TargetCode':''}")</f>
        <v>{'SheetId':'46a08105-9a54-4cad-a93a-3d9430ced38e','UId':'1cb9c1a9-b52b-467b-9e00-1c9d81b8e789','Col':3,'Row':38,'ColDynamic':3,'RowDynamic':32,'Format':'string','Value':'','TargetCode':''}</v>
      </c>
    </row>
    <row r="103" spans="1:1" x14ac:dyDescent="0.2">
      <c r="A103" t="str">
        <f>CONCATENATE("{'SheetId':'46a08105-9a54-4cad-a93a-3d9430ced38e'",",","'UId':'e7f08c1b-a11a-41e6-8347-079cea7da455'",",'Col':",COLUMN(BCTaiSan_06134!D38),",'Row':",ROW(BCTaiSan_06134!D38),",","'ColDynamic':",COLUMN(BCTaiSan_06134!D32),",","'RowDynamic':",ROW(BCTaiSan_06134!D32),",","'Format':'numberic'",",'Value':'",SUBSTITUTE(BCTaiSan_06134!D38,"'","\'"),"','TargetCode':''}")</f>
        <v>{'SheetId':'46a08105-9a54-4cad-a93a-3d9430ced38e','UId':'e7f08c1b-a11a-41e6-8347-079cea7da455','Col':4,'Row':38,'ColDynamic':4,'RowDynamic':32,'Format':'numberic','Value':'','TargetCode':''}</v>
      </c>
    </row>
    <row r="104" spans="1:1" x14ac:dyDescent="0.2">
      <c r="A104" t="str">
        <f>CONCATENATE("{'SheetId':'46a08105-9a54-4cad-a93a-3d9430ced38e'",",","'UId':'f514cd92-8c42-4012-b9c4-03ad58f124d9'",",'Col':",COLUMN(BCTaiSan_06134!E38),",'Row':",ROW(BCTaiSan_06134!E38),",","'ColDynamic':",COLUMN(BCTaiSan_06134!E32),",","'RowDynamic':",ROW(BCTaiSan_06134!E32),",","'Format':'numberic'",",'Value':'",SUBSTITUTE(BCTaiSan_06134!E38,"'","\'"),"','TargetCode':''}")</f>
        <v>{'SheetId':'46a08105-9a54-4cad-a93a-3d9430ced38e','UId':'f514cd92-8c42-4012-b9c4-03ad58f124d9','Col':5,'Row':38,'ColDynamic':5,'RowDynamic':32,'Format':'numberic','Value':'','TargetCode':''}</v>
      </c>
    </row>
    <row r="105" spans="1:1" x14ac:dyDescent="0.2">
      <c r="A105" t="str">
        <f>CONCATENATE("{'SheetId':'46a08105-9a54-4cad-a93a-3d9430ced38e'",",","'UId':'d37c389e-dcc8-45f7-b099-3ef5ec5d130e'",",'Col':",COLUMN(BCTaiSan_06134!F38),",'Row':",ROW(BCTaiSan_06134!F38),",","'ColDynamic':",COLUMN(BCTaiSan_06134!F32),",","'RowDynamic':",ROW(BCTaiSan_06134!F32),",","'Format':'numberic'",",'Value':'",SUBSTITUTE(BCTaiSan_06134!F38,"'","\'"),"','TargetCode':''}")</f>
        <v>{'SheetId':'46a08105-9a54-4cad-a93a-3d9430ced38e','UId':'d37c389e-dcc8-45f7-b099-3ef5ec5d130e','Col':6,'Row':38,'ColDynamic':6,'RowDynamic':32,'Format':'numberic','Value':'','TargetCode':''}</v>
      </c>
    </row>
    <row r="106" spans="1:1" x14ac:dyDescent="0.2">
      <c r="A106" t="str">
        <f>CONCATENATE("{'SheetId':'46a08105-9a54-4cad-a93a-3d9430ced38e'",",","'UId':'4057dc6e-a7c4-409a-8865-8f5444a0af2b'",",'Col':",COLUMN(BCTaiSan_06134!D39),",'Row':",ROW(BCTaiSan_06134!D39),",","'Format':'numberic'",",'Value':'",SUBSTITUTE(BCTaiSan_06134!D39,"'","\'"),"','TargetCode':''}")</f>
        <v>{'SheetId':'46a08105-9a54-4cad-a93a-3d9430ced38e','UId':'4057dc6e-a7c4-409a-8865-8f5444a0af2b','Col':4,'Row':39,'Format':'numberic','Value':'203285883','TargetCode':''}</v>
      </c>
    </row>
    <row r="107" spans="1:1" x14ac:dyDescent="0.2">
      <c r="A107" t="str">
        <f>CONCATENATE("{'SheetId':'46a08105-9a54-4cad-a93a-3d9430ced38e'",",","'UId':'3a5738a4-63cb-4ac7-a52e-6025ceeadd84'",",'Col':",COLUMN(BCTaiSan_06134!E39),",'Row':",ROW(BCTaiSan_06134!E39),",","'Format':'numberic'",",'Value':'",SUBSTITUTE(BCTaiSan_06134!E39,"'","\'"),"','TargetCode':''}")</f>
        <v>{'SheetId':'46a08105-9a54-4cad-a93a-3d9430ced38e','UId':'3a5738a4-63cb-4ac7-a52e-6025ceeadd84','Col':5,'Row':39,'Format':'numberic','Value':'139021299','TargetCode':''}</v>
      </c>
    </row>
    <row r="108" spans="1:1" x14ac:dyDescent="0.2">
      <c r="A108" t="str">
        <f>CONCATENATE("{'SheetId':'46a08105-9a54-4cad-a93a-3d9430ced38e'",",","'UId':'59c121bb-6502-40c0-8e91-2a733cd2c26c'",",'Col':",COLUMN(BCTaiSan_06134!F39),",'Row':",ROW(BCTaiSan_06134!F39),",","'Format':'numberic'",",'Value':'",SUBSTITUTE(BCTaiSan_06134!F39,"'","\'"),"','TargetCode':''}")</f>
        <v>{'SheetId':'46a08105-9a54-4cad-a93a-3d9430ced38e','UId':'59c121bb-6502-40c0-8e91-2a733cd2c26c','Col':6,'Row':39,'Format':'numberic','Value':'0','TargetCode':''}</v>
      </c>
    </row>
    <row r="109" spans="1:1" x14ac:dyDescent="0.2">
      <c r="A109" t="str">
        <f>CONCATENATE("{'SheetId':'46a08105-9a54-4cad-a93a-3d9430ced38e'",",","'UId':'a84eecc4-54d9-4f52-b35e-e115f5757fe0'",",'Col':",COLUMN(BCTaiSan_06134!D40),",'Row':",ROW(BCTaiSan_06134!D40),",","'Format':'numberic'",",'Value':'",SUBSTITUTE(BCTaiSan_06134!D40,"'","\'"),"','TargetCode':''}")</f>
        <v>{'SheetId':'46a08105-9a54-4cad-a93a-3d9430ced38e','UId':'a84eecc4-54d9-4f52-b35e-e115f5757fe0','Col':4,'Row':40,'Format':'numberic','Value':'68513629534','TargetCode':''}</v>
      </c>
    </row>
    <row r="110" spans="1:1" x14ac:dyDescent="0.2">
      <c r="A110" t="str">
        <f>CONCATENATE("{'SheetId':'46a08105-9a54-4cad-a93a-3d9430ced38e'",",","'UId':'bff7f185-f93c-478b-8b6e-0e3c25dbb3e9'",",'Col':",COLUMN(BCTaiSan_06134!E40),",'Row':",ROW(BCTaiSan_06134!E40),",","'Format':'numberic'",",'Value':'",SUBSTITUTE(BCTaiSan_06134!E40,"'","\'"),"','TargetCode':''}")</f>
        <v>{'SheetId':'46a08105-9a54-4cad-a93a-3d9430ced38e','UId':'bff7f185-f93c-478b-8b6e-0e3c25dbb3e9','Col':5,'Row':40,'Format':'numberic','Value':'68745700254','TargetCode':''}</v>
      </c>
    </row>
    <row r="111" spans="1:1" x14ac:dyDescent="0.2">
      <c r="A111" t="str">
        <f>CONCATENATE("{'SheetId':'46a08105-9a54-4cad-a93a-3d9430ced38e'",",","'UId':'2685b90d-a415-4612-9f3e-a35a7e556747'",",'Col':",COLUMN(BCTaiSan_06134!F40),",'Row':",ROW(BCTaiSan_06134!F40),",","'Format':'numberic'",",'Value':'",SUBSTITUTE(BCTaiSan_06134!F40,"'","\'"),"','TargetCode':''}")</f>
        <v>{'SheetId':'46a08105-9a54-4cad-a93a-3d9430ced38e','UId':'2685b90d-a415-4612-9f3e-a35a7e556747','Col':6,'Row':40,'Format':'numberic','Value':'0','TargetCode':''}</v>
      </c>
    </row>
    <row r="112" spans="1:1" x14ac:dyDescent="0.2">
      <c r="A112" t="str">
        <f>CONCATENATE("{'SheetId':'46a08105-9a54-4cad-a93a-3d9430ced38e'",",","'UId':'7761d3d6-87ca-4ef4-b75e-a8ae751569fc'",",'Col':",COLUMN(BCTaiSan_06134!D41),",'Row':",ROW(BCTaiSan_06134!D41),",","'Format':'numberic'",",'Value':'",SUBSTITUTE(BCTaiSan_06134!D41,"'","\'"),"','TargetCode':''}")</f>
        <v>{'SheetId':'46a08105-9a54-4cad-a93a-3d9430ced38e','UId':'7761d3d6-87ca-4ef4-b75e-a8ae751569fc','Col':4,'Row':41,'Format':'numberic','Value':'5600000','TargetCode':''}</v>
      </c>
    </row>
    <row r="113" spans="1:1" x14ac:dyDescent="0.2">
      <c r="A113" t="str">
        <f>CONCATENATE("{'SheetId':'46a08105-9a54-4cad-a93a-3d9430ced38e'",",","'UId':'49be2ead-d93a-47b3-83d3-c7267e2598db'",",'Col':",COLUMN(BCTaiSan_06134!E41),",'Row':",ROW(BCTaiSan_06134!E41),",","'Format':'numberic'",",'Value':'",SUBSTITUTE(BCTaiSan_06134!E41,"'","\'"),"','TargetCode':''}")</f>
        <v>{'SheetId':'46a08105-9a54-4cad-a93a-3d9430ced38e','UId':'49be2ead-d93a-47b3-83d3-c7267e2598db','Col':5,'Row':41,'Format':'numberic','Value':'5600000','TargetCode':''}</v>
      </c>
    </row>
    <row r="114" spans="1:1" x14ac:dyDescent="0.2">
      <c r="A114" t="str">
        <f>CONCATENATE("{'SheetId':'46a08105-9a54-4cad-a93a-3d9430ced38e'",",","'UId':'bb692d4c-e00c-48a8-9ee5-60ee2cec4032'",",'Col':",COLUMN(BCTaiSan_06134!F41),",'Row':",ROW(BCTaiSan_06134!F41),",","'Format':'numberic'",",'Value':'",SUBSTITUTE(BCTaiSan_06134!F41,"'","\'"),"','TargetCode':''}")</f>
        <v>{'SheetId':'46a08105-9a54-4cad-a93a-3d9430ced38e','UId':'bb692d4c-e00c-48a8-9ee5-60ee2cec4032','Col':6,'Row':41,'Format':'numberic','Value':'0','TargetCode':''}</v>
      </c>
    </row>
    <row r="115" spans="1:1" x14ac:dyDescent="0.2">
      <c r="A115" t="str">
        <f>CONCATENATE("{'SheetId':'46a08105-9a54-4cad-a93a-3d9430ced38e'",",","'UId':'d9388874-a0a4-4efc-b91d-0eaa816d3b2b'",",'Col':",COLUMN(BCTaiSan_06134!D42),",'Row':",ROW(BCTaiSan_06134!D42),",","'Format':'numberic'",",'Value':'",SUBSTITUTE(BCTaiSan_06134!D42,"'","\'"),"','TargetCode':''}")</f>
        <v>{'SheetId':'46a08105-9a54-4cad-a93a-3d9430ced38e','UId':'d9388874-a0a4-4efc-b91d-0eaa816d3b2b','Col':4,'Row':42,'Format':'numberic','Value':'12234.57','TargetCode':''}</v>
      </c>
    </row>
    <row r="116" spans="1:1" x14ac:dyDescent="0.2">
      <c r="A116" t="str">
        <f>CONCATENATE("{'SheetId':'46a08105-9a54-4cad-a93a-3d9430ced38e'",",","'UId':'b97f0827-895e-45de-997a-d501a79db6d0'",",'Col':",COLUMN(BCTaiSan_06134!E42),",'Row':",ROW(BCTaiSan_06134!E42),",","'Format':'numberic'",",'Value':'",SUBSTITUTE(BCTaiSan_06134!E42,"'","\'"),"','TargetCode':''}")</f>
        <v>{'SheetId':'46a08105-9a54-4cad-a93a-3d9430ced38e','UId':'b97f0827-895e-45de-997a-d501a79db6d0','Col':5,'Row':42,'Format':'numberic','Value':'12276.01','TargetCode':''}</v>
      </c>
    </row>
    <row r="117" spans="1:1" x14ac:dyDescent="0.2">
      <c r="A117" t="str">
        <f>CONCATENATE("{'SheetId':'46a08105-9a54-4cad-a93a-3d9430ced38e'",",","'UId':'473592dc-821e-4aa1-8b75-23761b32b96d'",",'Col':",COLUMN(BCTaiSan_06134!F42),",'Row':",ROW(BCTaiSan_06134!F42),",","'Format':'numberic'",",'Value':'",SUBSTITUTE(BCTaiSan_06134!F42,"'","\'"),"','TargetCode':''}")</f>
        <v>{'SheetId':'46a08105-9a54-4cad-a93a-3d9430ced38e','UId':'473592dc-821e-4aa1-8b75-23761b32b96d','Col':6,'Row':42,'Format':'numberic','Value':'0','TargetCode':''}</v>
      </c>
    </row>
    <row r="118" spans="1:1" x14ac:dyDescent="0.2">
      <c r="A118" t="str">
        <f>CONCATENATE("{'SheetId':'de4a50af-e3c0-40f9-b3b8-74329937463f'",",","'UId':'7b448377-9a45-4bea-9e16-74bd417a28fc'",",'Col':",COLUMN(BCKetQuaHoatDong_06135!D2),",'Row':",ROW(BCKetQuaHoatDong_06135!D2),",","'Format':'numberic'",",'Value':'",SUBSTITUTE(BCKetQuaHoatDong_06135!D2,"'","\'"),"','TargetCode':''}")</f>
        <v>{'SheetId':'de4a50af-e3c0-40f9-b3b8-74329937463f','UId':'7b448377-9a45-4bea-9e16-74bd417a28fc','Col':4,'Row':2,'Format':'numberic','Value':'36517625','TargetCode':''}</v>
      </c>
    </row>
    <row r="119" spans="1:1" x14ac:dyDescent="0.2">
      <c r="A119" t="str">
        <f>CONCATENATE("{'SheetId':'de4a50af-e3c0-40f9-b3b8-74329937463f'",",","'UId':'6de8cec9-51a9-40a3-8efe-652fe1159440'",",'Col':",COLUMN(BCKetQuaHoatDong_06135!E2),",'Row':",ROW(BCKetQuaHoatDong_06135!E2),",","'Format':'numberic'",",'Value':'",SUBSTITUTE(BCKetQuaHoatDong_06135!E2,"'","\'"),"','TargetCode':''}")</f>
        <v>{'SheetId':'de4a50af-e3c0-40f9-b3b8-74329937463f','UId':'6de8cec9-51a9-40a3-8efe-652fe1159440','Col':5,'Row':2,'Format':'numberic','Value':'61240899','TargetCode':''}</v>
      </c>
    </row>
    <row r="120" spans="1:1" x14ac:dyDescent="0.2">
      <c r="A120" t="str">
        <f>CONCATENATE("{'SheetId':'de4a50af-e3c0-40f9-b3b8-74329937463f'",",","'UId':'f2262948-e8aa-45fe-9519-34b8b1a5cc72'",",'Col':",COLUMN(BCKetQuaHoatDong_06135!F2),",'Row':",ROW(BCKetQuaHoatDong_06135!F2),",","'Format':'numberic'",",'Value':'",SUBSTITUTE(BCKetQuaHoatDong_06135!F2,"'","\'"),"','TargetCode':''}")</f>
        <v>{'SheetId':'de4a50af-e3c0-40f9-b3b8-74329937463f','UId':'f2262948-e8aa-45fe-9519-34b8b1a5cc72','Col':6,'Row':2,'Format':'numberic','Value':'97758524','TargetCode':''}</v>
      </c>
    </row>
    <row r="121" spans="1:1" x14ac:dyDescent="0.2">
      <c r="A121" t="str">
        <f>CONCATENATE("{'SheetId':'de4a50af-e3c0-40f9-b3b8-74329937463f'",",","'UId':'65b8f85a-68a9-42df-8952-ed0082fd4187'",",'Col':",COLUMN(BCKetQuaHoatDong_06135!D3),",'Row':",ROW(BCKetQuaHoatDong_06135!D3),",","'Format':'numberic'",",'Value':'",SUBSTITUTE(BCKetQuaHoatDong_06135!D3,"'","\'"),"','TargetCode':''}")</f>
        <v>{'SheetId':'de4a50af-e3c0-40f9-b3b8-74329937463f','UId':'65b8f85a-68a9-42df-8952-ed0082fd4187','Col':4,'Row':3,'Format':'numberic','Value':'','TargetCode':''}</v>
      </c>
    </row>
    <row r="122" spans="1:1" x14ac:dyDescent="0.2">
      <c r="A122" t="str">
        <f>CONCATENATE("{'SheetId':'de4a50af-e3c0-40f9-b3b8-74329937463f'",",","'UId':'50d61323-448c-480f-af06-ba2a909a4447'",",'Col':",COLUMN(BCKetQuaHoatDong_06135!E3),",'Row':",ROW(BCKetQuaHoatDong_06135!E3),",","'Format':'numberic'",",'Value':'",SUBSTITUTE(BCKetQuaHoatDong_06135!E3,"'","\'"),"','TargetCode':''}")</f>
        <v>{'SheetId':'de4a50af-e3c0-40f9-b3b8-74329937463f','UId':'50d61323-448c-480f-af06-ba2a909a4447','Col':5,'Row':3,'Format':'numberic','Value':'','TargetCode':''}</v>
      </c>
    </row>
    <row r="123" spans="1:1" x14ac:dyDescent="0.2">
      <c r="A123" t="str">
        <f>CONCATENATE("{'SheetId':'de4a50af-e3c0-40f9-b3b8-74329937463f'",",","'UId':'12a3bd63-4106-486f-b8fa-cb07c2ae665b'",",'Col':",COLUMN(BCKetQuaHoatDong_06135!F3),",'Row':",ROW(BCKetQuaHoatDong_06135!F3),",","'Format':'numberic'",",'Value':'",SUBSTITUTE(BCKetQuaHoatDong_06135!F3,"'","\'"),"','TargetCode':''}")</f>
        <v>{'SheetId':'de4a50af-e3c0-40f9-b3b8-74329937463f','UId':'12a3bd63-4106-486f-b8fa-cb07c2ae665b','Col':6,'Row':3,'Format':'numberic','Value':'','TargetCode':''}</v>
      </c>
    </row>
    <row r="124" spans="1:1" x14ac:dyDescent="0.2">
      <c r="A124" t="str">
        <f>CONCATENATE("{'SheetId':'de4a50af-e3c0-40f9-b3b8-74329937463f'",",","'UId':'a706e3da-8bcb-45ca-ba0a-bf1ab2d3d340'",",'Col':",COLUMN(BCKetQuaHoatDong_06135!A5),",'Row':",ROW(BCKetQuaHoatDong_06135!A5),",","'ColDynamic':",COLUMN(BCKetQuaHoatDong_06135!A4),",","'RowDynamic':",ROW(BCKetQuaHoatDong_06135!A4),",","'Format':'string'",",'Value':'",SUBSTITUTE(BCKetQuaHoatDong_06135!A5,"'","\'"),"','TargetCode':''}")</f>
        <v>{'SheetId':'de4a50af-e3c0-40f9-b3b8-74329937463f','UId':'a706e3da-8bcb-45ca-ba0a-bf1ab2d3d340','Col':1,'Row':5,'ColDynamic':1,'RowDynamic':4,'Format':'string','Value':'2','TargetCode':''}</v>
      </c>
    </row>
    <row r="125" spans="1:1" x14ac:dyDescent="0.2">
      <c r="A125" t="str">
        <f>CONCATENATE("{'SheetId':'de4a50af-e3c0-40f9-b3b8-74329937463f'",",","'UId':'536339cf-0517-46a2-98f2-b08c428d029f'",",'Col':",COLUMN(BCKetQuaHoatDong_06135!B5),",'Row':",ROW(BCKetQuaHoatDong_06135!B5),",","'ColDynamic':",COLUMN(BCKetQuaHoatDong_06135!B4),",","'RowDynamic':",ROW(BCKetQuaHoatDong_06135!B4),",","'Format':'string'",",'Value':'",SUBSTITUTE(BCKetQuaHoatDong_06135!B5,"'","\'"),"','TargetCode':''}")</f>
        <v>{'SheetId':'de4a50af-e3c0-40f9-b3b8-74329937463f','UId':'536339cf-0517-46a2-98f2-b08c428d029f','Col':2,'Row':5,'ColDynamic':2,'RowDynamic':4,'Format':'string','Value':'Cổ tức, trái tức được nhận','TargetCode':''}</v>
      </c>
    </row>
    <row r="126" spans="1:1" x14ac:dyDescent="0.2">
      <c r="A126" t="str">
        <f>CONCATENATE("{'SheetId':'de4a50af-e3c0-40f9-b3b8-74329937463f'",",","'UId':'4db5143c-78c0-40e1-a6e1-fe9784179249'",",'Col':",COLUMN(BCKetQuaHoatDong_06135!C5),",'Row':",ROW(BCKetQuaHoatDong_06135!C5),",","'ColDynamic':",COLUMN(BCKetQuaHoatDong_06135!C4),",","'RowDynamic':",ROW(BCKetQuaHoatDong_06135!C4),",","'Format':'string'",",'Value':'",SUBSTITUTE(BCKetQuaHoatDong_06135!C5,"'","\'"),"','TargetCode':''}")</f>
        <v>{'SheetId':'de4a50af-e3c0-40f9-b3b8-74329937463f','UId':'4db5143c-78c0-40e1-a6e1-fe9784179249','Col':3,'Row':5,'ColDynamic':3,'RowDynamic':4,'Format':'string','Value':'2221','TargetCode':''}</v>
      </c>
    </row>
    <row r="127" spans="1:1" x14ac:dyDescent="0.2">
      <c r="A127" t="str">
        <f>CONCATENATE("{'SheetId':'de4a50af-e3c0-40f9-b3b8-74329937463f'",",","'UId':'3da34669-4d3a-4a0d-bf40-85b77be22ffc'",",'Col':",COLUMN(BCKetQuaHoatDong_06135!D5),",'Row':",ROW(BCKetQuaHoatDong_06135!D5),",","'ColDynamic':",COLUMN(BCKetQuaHoatDong_06135!D4),",","'RowDynamic':",ROW(BCKetQuaHoatDong_06135!D4),",","'Format':'numberic'",",'Value':'",SUBSTITUTE(BCKetQuaHoatDong_06135!D5,"'","\'"),"','TargetCode':''}")</f>
        <v>{'SheetId':'de4a50af-e3c0-40f9-b3b8-74329937463f','UId':'3da34669-4d3a-4a0d-bf40-85b77be22ffc','Col':4,'Row':5,'ColDynamic':4,'RowDynamic':4,'Format':'numberic','Value':'36500000','TargetCode':''}</v>
      </c>
    </row>
    <row r="128" spans="1:1" x14ac:dyDescent="0.2">
      <c r="A128" t="str">
        <f>CONCATENATE("{'SheetId':'de4a50af-e3c0-40f9-b3b8-74329937463f'",",","'UId':'8d3e0864-ba62-4db4-bdd2-47e059ede071'",",'Col':",COLUMN(BCKetQuaHoatDong_06135!E5),",'Row':",ROW(BCKetQuaHoatDong_06135!E5),",","'ColDynamic':",COLUMN(BCKetQuaHoatDong_06135!E4),",","'RowDynamic':",ROW(BCKetQuaHoatDong_06135!E4),",","'Format':'numberic'",",'Value':'",SUBSTITUTE(BCKetQuaHoatDong_06135!E5,"'","\'"),"','TargetCode':''}")</f>
        <v>{'SheetId':'de4a50af-e3c0-40f9-b3b8-74329937463f','UId':'8d3e0864-ba62-4db4-bdd2-47e059ede071','Col':5,'Row':5,'ColDynamic':5,'RowDynamic':4,'Format':'numberic','Value':'61200000','TargetCode':''}</v>
      </c>
    </row>
    <row r="129" spans="1:1" x14ac:dyDescent="0.2">
      <c r="A129" t="str">
        <f>CONCATENATE("{'SheetId':'de4a50af-e3c0-40f9-b3b8-74329937463f'",",","'UId':'583bb12a-43cd-4cb6-94c8-d1ee4249689a'",",'Col':",COLUMN(BCKetQuaHoatDong_06135!F5),",'Row':",ROW(BCKetQuaHoatDong_06135!F5),",","'ColDynamic':",COLUMN(BCKetQuaHoatDong_06135!F4),",","'RowDynamic':",ROW(BCKetQuaHoatDong_06135!F4),",","'Format':'numberic'",",'Value':'",SUBSTITUTE(BCKetQuaHoatDong_06135!F5,"'","\'"),"','TargetCode':''}")</f>
        <v>{'SheetId':'de4a50af-e3c0-40f9-b3b8-74329937463f','UId':'583bb12a-43cd-4cb6-94c8-d1ee4249689a','Col':6,'Row':5,'ColDynamic':6,'RowDynamic':4,'Format':'numberic','Value':'97700000','TargetCode':''}</v>
      </c>
    </row>
    <row r="130" spans="1:1" x14ac:dyDescent="0.2">
      <c r="A130" t="str">
        <f>CONCATENATE("{'SheetId':'de4a50af-e3c0-40f9-b3b8-74329937463f'",",","'UId':'517d9084-6a86-4cef-89e4-5118c94c7768'",",'Col':",COLUMN(BCKetQuaHoatDong_06135!A7),",'Row':",ROW(BCKetQuaHoatDong_06135!A7),",","'ColDynamic':",COLUMN(BCKetQuaHoatDong_06135!A4),",","'RowDynamic':",ROW(BCKetQuaHoatDong_06135!A4),",","'Format':'string'",",'Value':'",SUBSTITUTE(BCKetQuaHoatDong_06135!A7,"'","\'"),"','TargetCode':''}")</f>
        <v>{'SheetId':'de4a50af-e3c0-40f9-b3b8-74329937463f','UId':'517d9084-6a86-4cef-89e4-5118c94c7768','Col':1,'Row':7,'ColDynamic':1,'RowDynamic':4,'Format':'string','Value':'3','TargetCode':''}</v>
      </c>
    </row>
    <row r="131" spans="1:1" x14ac:dyDescent="0.2">
      <c r="A131" t="str">
        <f>CONCATENATE("{'SheetId':'de4a50af-e3c0-40f9-b3b8-74329937463f'",",","'UId':'262d924e-7082-448f-bfdf-897765fee015'",",'Col':",COLUMN(BCKetQuaHoatDong_06135!B7),",'Row':",ROW(BCKetQuaHoatDong_06135!B7),",","'ColDynamic':",COLUMN(BCKetQuaHoatDong_06135!B4),",","'RowDynamic':",ROW(BCKetQuaHoatDong_06135!B4),",","'Format':'string'",",'Value':'",SUBSTITUTE(BCKetQuaHoatDong_06135!B7,"'","\'"),"','TargetCode':''}")</f>
        <v>{'SheetId':'de4a50af-e3c0-40f9-b3b8-74329937463f','UId':'262d924e-7082-448f-bfdf-897765fee015','Col':2,'Row':7,'ColDynamic':2,'RowDynamic':4,'Format':'string','Value':'Lãi được nhận','TargetCode':''}</v>
      </c>
    </row>
    <row r="132" spans="1:1" x14ac:dyDescent="0.2">
      <c r="A132" t="str">
        <f>CONCATENATE("{'SheetId':'de4a50af-e3c0-40f9-b3b8-74329937463f'",",","'UId':'66caad84-55bf-45fc-a5bb-ab341fab23ab'",",'Col':",COLUMN(BCKetQuaHoatDong_06135!C7),",'Row':",ROW(BCKetQuaHoatDong_06135!C7),",","'ColDynamic':",COLUMN(BCKetQuaHoatDong_06135!C4),",","'RowDynamic':",ROW(BCKetQuaHoatDong_06135!C4),",","'Format':'string'",",'Value':'",SUBSTITUTE(BCKetQuaHoatDong_06135!C7,"'","\'"),"','TargetCode':''}")</f>
        <v>{'SheetId':'de4a50af-e3c0-40f9-b3b8-74329937463f','UId':'66caad84-55bf-45fc-a5bb-ab341fab23ab','Col':3,'Row':7,'ColDynamic':3,'RowDynamic':4,'Format':'string','Value':'2222','TargetCode':''}</v>
      </c>
    </row>
    <row r="133" spans="1:1" x14ac:dyDescent="0.2">
      <c r="A133" t="str">
        <f>CONCATENATE("{'SheetId':'de4a50af-e3c0-40f9-b3b8-74329937463f'",",","'UId':'e6c9b3d0-c0bf-43aa-9ea0-bc92566ed5ad'",",'Col':",COLUMN(BCKetQuaHoatDong_06135!D7),",'Row':",ROW(BCKetQuaHoatDong_06135!D7),",","'ColDynamic':",COLUMN(BCKetQuaHoatDong_06135!D4),",","'RowDynamic':",ROW(BCKetQuaHoatDong_06135!D4),",","'Format':'numberic'",",'Value':'",SUBSTITUTE(BCKetQuaHoatDong_06135!D7,"'","\'"),"','TargetCode':''}")</f>
        <v>{'SheetId':'de4a50af-e3c0-40f9-b3b8-74329937463f','UId':'e6c9b3d0-c0bf-43aa-9ea0-bc92566ed5ad','Col':4,'Row':7,'ColDynamic':4,'RowDynamic':4,'Format':'numberic','Value':'17625','TargetCode':''}</v>
      </c>
    </row>
    <row r="134" spans="1:1" x14ac:dyDescent="0.2">
      <c r="A134" t="str">
        <f>CONCATENATE("{'SheetId':'de4a50af-e3c0-40f9-b3b8-74329937463f'",",","'UId':'a90d2f11-6da8-49bd-a62f-96ecdc14df9d'",",'Col':",COLUMN(BCKetQuaHoatDong_06135!E7),",'Row':",ROW(BCKetQuaHoatDong_06135!E7),",","'ColDynamic':",COLUMN(BCKetQuaHoatDong_06135!E4),",","'RowDynamic':",ROW(BCKetQuaHoatDong_06135!E4),",","'Format':'numberic'",",'Value':'",SUBSTITUTE(BCKetQuaHoatDong_06135!E7,"'","\'"),"','TargetCode':''}")</f>
        <v>{'SheetId':'de4a50af-e3c0-40f9-b3b8-74329937463f','UId':'a90d2f11-6da8-49bd-a62f-96ecdc14df9d','Col':5,'Row':7,'ColDynamic':5,'RowDynamic':4,'Format':'numberic','Value':'40899','TargetCode':''}</v>
      </c>
    </row>
    <row r="135" spans="1:1" x14ac:dyDescent="0.2">
      <c r="A135" t="str">
        <f>CONCATENATE("{'SheetId':'de4a50af-e3c0-40f9-b3b8-74329937463f'",",","'UId':'97a2ea9e-271d-4c59-8837-7794ab33015e'",",'Col':",COLUMN(BCKetQuaHoatDong_06135!F7),",'Row':",ROW(BCKetQuaHoatDong_06135!F7),",","'ColDynamic':",COLUMN(BCKetQuaHoatDong_06135!F4),",","'RowDynamic':",ROW(BCKetQuaHoatDong_06135!F4),",","'Format':'numberic'",",'Value':'",SUBSTITUTE(BCKetQuaHoatDong_06135!F7,"'","\'"),"','TargetCode':''}")</f>
        <v>{'SheetId':'de4a50af-e3c0-40f9-b3b8-74329937463f','UId':'97a2ea9e-271d-4c59-8837-7794ab33015e','Col':6,'Row':7,'ColDynamic':6,'RowDynamic':4,'Format':'numberic','Value':'58524','TargetCode':''}</v>
      </c>
    </row>
    <row r="136" spans="1:1" x14ac:dyDescent="0.2">
      <c r="A136" t="str">
        <f>CONCATENATE("{'SheetId':'de4a50af-e3c0-40f9-b3b8-74329937463f'",",","'UId':'9ef935c4-d07c-401f-ae07-246d08b980f6'",",'Col':",COLUMN(BCKetQuaHoatDong_06135!A9),",'Row':",ROW(BCKetQuaHoatDong_06135!A9),",","'ColDynamic':",COLUMN(BCKetQuaHoatDong_06135!A6),",","'RowDynamic':",ROW(BCKetQuaHoatDong_06135!A6),",","'Format':'string'",",'Value':'",SUBSTITUTE(BCKetQuaHoatDong_06135!A9,"'","\'"),"','TargetCode':''}")</f>
        <v>{'SheetId':'de4a50af-e3c0-40f9-b3b8-74329937463f','UId':'9ef935c4-d07c-401f-ae07-246d08b980f6','Col':1,'Row':9,'ColDynamic':1,'RowDynamic':6,'Format':'string','Value':'4','TargetCode':''}</v>
      </c>
    </row>
    <row r="137" spans="1:1" x14ac:dyDescent="0.2">
      <c r="A137" t="str">
        <f>CONCATENATE("{'SheetId':'de4a50af-e3c0-40f9-b3b8-74329937463f'",",","'UId':'777ba28f-124f-4d37-90ff-121031d0499a'",",'Col':",COLUMN(BCKetQuaHoatDong_06135!B9),",'Row':",ROW(BCKetQuaHoatDong_06135!B9),",","'ColDynamic':",COLUMN(BCKetQuaHoatDong_06135!B6),",","'RowDynamic':",ROW(BCKetQuaHoatDong_06135!B6),",","'Format':'string'",",'Value':'",SUBSTITUTE(BCKetQuaHoatDong_06135!B9,"'","\'"),"','TargetCode':''}")</f>
        <v>{'SheetId':'de4a50af-e3c0-40f9-b3b8-74329937463f','UId':'777ba28f-124f-4d37-90ff-121031d0499a','Col':2,'Row':9,'ColDynamic':2,'RowDynamic':6,'Format':'string','Value':'Các khoản thu nhập khác','TargetCode':''}</v>
      </c>
    </row>
    <row r="138" spans="1:1" x14ac:dyDescent="0.2">
      <c r="A138" t="str">
        <f>CONCATENATE("{'SheetId':'de4a50af-e3c0-40f9-b3b8-74329937463f'",",","'UId':'0edf5739-3f6c-46de-8663-9c534608a090'",",'Col':",COLUMN(BCKetQuaHoatDong_06135!C9),",'Row':",ROW(BCKetQuaHoatDong_06135!C9),",","'ColDynamic':",COLUMN(BCKetQuaHoatDong_06135!C6),",","'RowDynamic':",ROW(BCKetQuaHoatDong_06135!C6),",","'Format':'string'",",'Value':'",SUBSTITUTE(BCKetQuaHoatDong_06135!C9,"'","\'"),"','TargetCode':''}")</f>
        <v>{'SheetId':'de4a50af-e3c0-40f9-b3b8-74329937463f','UId':'0edf5739-3f6c-46de-8663-9c534608a090','Col':3,'Row':9,'ColDynamic':3,'RowDynamic':6,'Format':'string','Value':'2223','TargetCode':''}</v>
      </c>
    </row>
    <row r="139" spans="1:1" x14ac:dyDescent="0.2">
      <c r="A139" t="str">
        <f>CONCATENATE("{'SheetId':'de4a50af-e3c0-40f9-b3b8-74329937463f'",",","'UId':'25080033-c941-48d7-9a35-567c718a6e61'",",'Col':",COLUMN(BCKetQuaHoatDong_06135!D9),",'Row':",ROW(BCKetQuaHoatDong_06135!D9),",","'ColDynamic':",COLUMN(BCKetQuaHoatDong_06135!D6),",","'RowDynamic':",ROW(BCKetQuaHoatDong_06135!D6),",","'Format':'numberic'",",'Value':'",SUBSTITUTE(BCKetQuaHoatDong_06135!D9,"'","\'"),"','TargetCode':''}")</f>
        <v>{'SheetId':'de4a50af-e3c0-40f9-b3b8-74329937463f','UId':'25080033-c941-48d7-9a35-567c718a6e61','Col':4,'Row':9,'ColDynamic':4,'RowDynamic':6,'Format':'numberic','Value':'','TargetCode':''}</v>
      </c>
    </row>
    <row r="140" spans="1:1" x14ac:dyDescent="0.2">
      <c r="A140" t="str">
        <f>CONCATENATE("{'SheetId':'de4a50af-e3c0-40f9-b3b8-74329937463f'",",","'UId':'f3ec37cf-7a66-4472-a3ca-5500edab293e'",",'Col':",COLUMN(BCKetQuaHoatDong_06135!E9),",'Row':",ROW(BCKetQuaHoatDong_06135!E9),",","'ColDynamic':",COLUMN(BCKetQuaHoatDong_06135!E6),",","'RowDynamic':",ROW(BCKetQuaHoatDong_06135!E6),",","'Format':'numberic'",",'Value':'",SUBSTITUTE(BCKetQuaHoatDong_06135!E9,"'","\'"),"','TargetCode':''}")</f>
        <v>{'SheetId':'de4a50af-e3c0-40f9-b3b8-74329937463f','UId':'f3ec37cf-7a66-4472-a3ca-5500edab293e','Col':5,'Row':9,'ColDynamic':5,'RowDynamic':6,'Format':'numberic','Value':'','TargetCode':''}</v>
      </c>
    </row>
    <row r="141" spans="1:1" x14ac:dyDescent="0.2">
      <c r="A141" t="str">
        <f>CONCATENATE("{'SheetId':'de4a50af-e3c0-40f9-b3b8-74329937463f'",",","'UId':'7ba461c3-7012-4c01-9bed-5024c7374c35'",",'Col':",COLUMN(BCKetQuaHoatDong_06135!F9),",'Row':",ROW(BCKetQuaHoatDong_06135!F9),",","'ColDynamic':",COLUMN(BCKetQuaHoatDong_06135!F6),",","'RowDynamic':",ROW(BCKetQuaHoatDong_06135!F6),",","'Format':'numberic'",",'Value':'",SUBSTITUTE(BCKetQuaHoatDong_06135!F9,"'","\'"),"','TargetCode':''}")</f>
        <v>{'SheetId':'de4a50af-e3c0-40f9-b3b8-74329937463f','UId':'7ba461c3-7012-4c01-9bed-5024c7374c35','Col':6,'Row':9,'ColDynamic':6,'RowDynamic':6,'Format':'numberic','Value':'','TargetCode':''}</v>
      </c>
    </row>
    <row r="142" spans="1:1" x14ac:dyDescent="0.2">
      <c r="A142" t="str">
        <f>CONCATENATE("{'SheetId':'de4a50af-e3c0-40f9-b3b8-74329937463f'",",","'UId':'69618ed3-bfa2-4fbe-b958-31a455624fe1'",",'Col':",COLUMN(BCKetQuaHoatDong_06135!A11),",'Row':",ROW(BCKetQuaHoatDong_06135!A11),",","'ColDynamic':",COLUMN(BCKetQuaHoatDong_06135!A8),",","'RowDynamic':",ROW(BCKetQuaHoatDong_06135!A8),",","'Format':'string'",",'Value':'",SUBSTITUTE(BCKetQuaHoatDong_06135!A11,"'","\'"),"','TargetCode':''}")</f>
        <v>{'SheetId':'de4a50af-e3c0-40f9-b3b8-74329937463f','UId':'69618ed3-bfa2-4fbe-b958-31a455624fe1','Col':1,'Row':11,'ColDynamic':1,'RowDynamic':8,'Format':'string','Value':'II','TargetCode':''}</v>
      </c>
    </row>
    <row r="143" spans="1:1" x14ac:dyDescent="0.2">
      <c r="A143" t="str">
        <f>CONCATENATE("{'SheetId':'de4a50af-e3c0-40f9-b3b8-74329937463f'",",","'UId':'4cac3d46-fc6c-45b5-b155-f53ca3206910'",",'Col':",COLUMN(BCKetQuaHoatDong_06135!B11),",'Row':",ROW(BCKetQuaHoatDong_06135!B11),",","'ColDynamic':",COLUMN(BCKetQuaHoatDong_06135!B8),",","'RowDynamic':",ROW(BCKetQuaHoatDong_06135!B8),",","'Format':'string'",",'Value':'",SUBSTITUTE(BCKetQuaHoatDong_06135!B11,"'","\'"),"','TargetCode':''}")</f>
        <v>{'SheetId':'de4a50af-e3c0-40f9-b3b8-74329937463f','UId':'4cac3d46-fc6c-45b5-b155-f53ca3206910','Col':2,'Row':11,'ColDynamic':2,'RowDynamic':8,'Format':'string','Value':'Chi phí','TargetCode':''}</v>
      </c>
    </row>
    <row r="144" spans="1:1" x14ac:dyDescent="0.2">
      <c r="A144" t="str">
        <f>CONCATENATE("{'SheetId':'de4a50af-e3c0-40f9-b3b8-74329937463f'",",","'UId':'44aabbb5-3e36-441a-b226-b5403838545f'",",'Col':",COLUMN(BCKetQuaHoatDong_06135!C11),",'Row':",ROW(BCKetQuaHoatDong_06135!C11),",","'ColDynamic':",COLUMN(BCKetQuaHoatDong_06135!C8),",","'RowDynamic':",ROW(BCKetQuaHoatDong_06135!C8),",","'Format':'string'",",'Value':'",SUBSTITUTE(BCKetQuaHoatDong_06135!C11,"'","\'"),"','TargetCode':''}")</f>
        <v>{'SheetId':'de4a50af-e3c0-40f9-b3b8-74329937463f','UId':'44aabbb5-3e36-441a-b226-b5403838545f','Col':3,'Row':11,'ColDynamic':3,'RowDynamic':8,'Format':'string','Value':'2224','TargetCode':''}</v>
      </c>
    </row>
    <row r="145" spans="1:1" x14ac:dyDescent="0.2">
      <c r="A145" t="str">
        <f>CONCATENATE("{'SheetId':'de4a50af-e3c0-40f9-b3b8-74329937463f'",",","'UId':'57b2b7e8-d65f-4a8f-8589-a27d90fc4186'",",'Col':",COLUMN(BCKetQuaHoatDong_06135!D11),",'Row':",ROW(BCKetQuaHoatDong_06135!D11),",","'ColDynamic':",COLUMN(BCKetQuaHoatDong_06135!D8),",","'RowDynamic':",ROW(BCKetQuaHoatDong_06135!D8),",","'Format':'numberic'",",'Value':'",SUBSTITUTE(BCKetQuaHoatDong_06135!D11,"'","\'"),"','TargetCode':''}")</f>
        <v>{'SheetId':'de4a50af-e3c0-40f9-b3b8-74329937463f','UId':'57b2b7e8-d65f-4a8f-8589-a27d90fc4186','Col':4,'Row':11,'ColDynamic':4,'RowDynamic':8,'Format':'numberic','Value':'114598795','TargetCode':''}</v>
      </c>
    </row>
    <row r="146" spans="1:1" x14ac:dyDescent="0.2">
      <c r="A146" t="str">
        <f>CONCATENATE("{'SheetId':'de4a50af-e3c0-40f9-b3b8-74329937463f'",",","'UId':'aef6cdac-ec88-4ce3-b387-eb2464eae542'",",'Col':",COLUMN(BCKetQuaHoatDong_06135!E11),",'Row':",ROW(BCKetQuaHoatDong_06135!E11),",","'ColDynamic':",COLUMN(BCKetQuaHoatDong_06135!E8),",","'RowDynamic':",ROW(BCKetQuaHoatDong_06135!E8),",","'Format':'numberic'",",'Value':'",SUBSTITUTE(BCKetQuaHoatDong_06135!E11,"'","\'"),"','TargetCode':''}")</f>
        <v>{'SheetId':'de4a50af-e3c0-40f9-b3b8-74329937463f','UId':'aef6cdac-ec88-4ce3-b387-eb2464eae542','Col':5,'Row':11,'ColDynamic':5,'RowDynamic':8,'Format':'numberic','Value':'122763695','TargetCode':''}</v>
      </c>
    </row>
    <row r="147" spans="1:1" x14ac:dyDescent="0.2">
      <c r="A147" t="str">
        <f>CONCATENATE("{'SheetId':'de4a50af-e3c0-40f9-b3b8-74329937463f'",",","'UId':'7846ac09-38cf-48bb-94d3-80a6eef861dc'",",'Col':",COLUMN(BCKetQuaHoatDong_06135!F11),",'Row':",ROW(BCKetQuaHoatDong_06135!F11),",","'ColDynamic':",COLUMN(BCKetQuaHoatDong_06135!F8),",","'RowDynamic':",ROW(BCKetQuaHoatDong_06135!F8),",","'Format':'numberic'",",'Value':'",SUBSTITUTE(BCKetQuaHoatDong_06135!F11,"'","\'"),"','TargetCode':''}")</f>
        <v>{'SheetId':'de4a50af-e3c0-40f9-b3b8-74329937463f','UId':'7846ac09-38cf-48bb-94d3-80a6eef861dc','Col':6,'Row':11,'ColDynamic':6,'RowDynamic':8,'Format':'numberic','Value':'237362490','TargetCode':''}</v>
      </c>
    </row>
    <row r="148" spans="1:1" x14ac:dyDescent="0.2">
      <c r="A148" t="str">
        <f>CONCATENATE("{'SheetId':'de4a50af-e3c0-40f9-b3b8-74329937463f'",",","'UId':'7e6de334-d2d8-4ada-a7bc-c48f444e4224'",",'Col':",COLUMN(BCKetQuaHoatDong_06135!D12),",'Row':",ROW(BCKetQuaHoatDong_06135!D12),",","'Format':'numberic'",",'Value':'",SUBSTITUTE(BCKetQuaHoatDong_06135!D12,"'","\'"),"','TargetCode':''}")</f>
        <v>{'SheetId':'de4a50af-e3c0-40f9-b3b8-74329937463f','UId':'7e6de334-d2d8-4ada-a7bc-c48f444e4224','Col':4,'Row':12,'Format':'numberic','Value':'33648766','TargetCode':''}</v>
      </c>
    </row>
    <row r="149" spans="1:1" x14ac:dyDescent="0.2">
      <c r="A149" t="str">
        <f>CONCATENATE("{'SheetId':'de4a50af-e3c0-40f9-b3b8-74329937463f'",",","'UId':'54e570bf-9e90-45b3-b6de-cae3f0c650cf'",",'Col':",COLUMN(BCKetQuaHoatDong_06135!E12),",'Row':",ROW(BCKetQuaHoatDong_06135!E12),",","'Format':'numberic'",",'Value':'",SUBSTITUTE(BCKetQuaHoatDong_06135!E12,"'","\'"),"','TargetCode':''}")</f>
        <v>{'SheetId':'de4a50af-e3c0-40f9-b3b8-74329937463f','UId':'54e570bf-9e90-45b3-b6de-cae3f0c650cf','Col':5,'Row':12,'Format':'numberic','Value':'36802703','TargetCode':''}</v>
      </c>
    </row>
    <row r="150" spans="1:1" x14ac:dyDescent="0.2">
      <c r="A150" t="str">
        <f>CONCATENATE("{'SheetId':'de4a50af-e3c0-40f9-b3b8-74329937463f'",",","'UId':'cd8df4bd-ee40-4f84-ac5b-2863cd8ea319'",",'Col':",COLUMN(BCKetQuaHoatDong_06135!F12),",'Row':",ROW(BCKetQuaHoatDong_06135!F12),",","'Format':'numberic'",",'Value':'",SUBSTITUTE(BCKetQuaHoatDong_06135!F12,"'","\'"),"','TargetCode':''}")</f>
        <v>{'SheetId':'de4a50af-e3c0-40f9-b3b8-74329937463f','UId':'cd8df4bd-ee40-4f84-ac5b-2863cd8ea319','Col':6,'Row':12,'Format':'numberic','Value':'70451469','TargetCode':''}</v>
      </c>
    </row>
    <row r="151" spans="1:1" x14ac:dyDescent="0.2">
      <c r="A151" t="str">
        <f>CONCATENATE("{'SheetId':'de4a50af-e3c0-40f9-b3b8-74329937463f'",",","'UId':'267a9306-fb3e-47fe-a859-41ecf0f777d4'",",'Col':",COLUMN(BCKetQuaHoatDong_06135!A14),",'Row':",ROW(BCKetQuaHoatDong_06135!A14),",","'ColDynamic':",COLUMN(BCKetQuaHoatDong_06135!A11),",","'RowDynamic':",ROW(BCKetQuaHoatDong_06135!A11),",","'Format':'string'",",'Value':'",SUBSTITUTE(BCKetQuaHoatDong_06135!A14,"'","\'"),"','TargetCode':''}")</f>
        <v>{'SheetId':'de4a50af-e3c0-40f9-b3b8-74329937463f','UId':'267a9306-fb3e-47fe-a859-41ecf0f777d4','Col':1,'Row':14,'ColDynamic':1,'RowDynamic':11,'Format':'string','Value':'2','TargetCode':''}</v>
      </c>
    </row>
    <row r="152" spans="1:1" x14ac:dyDescent="0.2">
      <c r="A152" t="str">
        <f>CONCATENATE("{'SheetId':'de4a50af-e3c0-40f9-b3b8-74329937463f'",",","'UId':'c184e08e-01d7-4220-a7a3-3ff0a2fd6343'",",'Col':",COLUMN(BCKetQuaHoatDong_06135!B14),",'Row':",ROW(BCKetQuaHoatDong_06135!B14),",","'ColDynamic':",COLUMN(BCKetQuaHoatDong_06135!B11),",","'RowDynamic':",ROW(BCKetQuaHoatDong_06135!B11),",","'Format':'string'",",'Value':'",SUBSTITUTE(BCKetQuaHoatDong_06135!B14,"'","\'"),"','TargetCode':''}")</f>
        <v>{'SheetId':'de4a50af-e3c0-40f9-b3b8-74329937463f','UId':'c184e08e-01d7-4220-a7a3-3ff0a2fd6343','Col':2,'Row':14,'ColDynamic':2,'RowDynamic':11,'Format':'string','Value':'Chi phí lưu ký, giám sát trả cho ngân hàng giám sát','TargetCode':''}</v>
      </c>
    </row>
    <row r="153" spans="1:1" x14ac:dyDescent="0.2">
      <c r="A153" t="str">
        <f>CONCATENATE("{'SheetId':'de4a50af-e3c0-40f9-b3b8-74329937463f'",",","'UId':'ecec10b3-af09-4afa-afee-7a57bb4a1f24'",",'Col':",COLUMN(BCKetQuaHoatDong_06135!C14),",'Row':",ROW(BCKetQuaHoatDong_06135!C14),",","'ColDynamic':",COLUMN(BCKetQuaHoatDong_06135!C11),",","'RowDynamic':",ROW(BCKetQuaHoatDong_06135!C11),",","'Format':'string'",",'Value':'",SUBSTITUTE(BCKetQuaHoatDong_06135!C14,"'","\'"),"','TargetCode':''}")</f>
        <v>{'SheetId':'de4a50af-e3c0-40f9-b3b8-74329937463f','UId':'ecec10b3-af09-4afa-afee-7a57bb4a1f24','Col':3,'Row':14,'ColDynamic':3,'RowDynamic':11,'Format':'string','Value':'2226','TargetCode':''}</v>
      </c>
    </row>
    <row r="154" spans="1:1" x14ac:dyDescent="0.2">
      <c r="A154" t="str">
        <f>CONCATENATE("{'SheetId':'de4a50af-e3c0-40f9-b3b8-74329937463f'",",","'UId':'11eade84-eeaa-4d84-a026-d4f07dfd0db4'",",'Col':",COLUMN(BCKetQuaHoatDong_06135!D14),",'Row':",ROW(BCKetQuaHoatDong_06135!D14),",","'ColDynamic':",COLUMN(BCKetQuaHoatDong_06135!D11),",","'RowDynamic':",ROW(BCKetQuaHoatDong_06135!D11),",","'Format':'numberic'",",'Value':'",SUBSTITUTE(BCKetQuaHoatDong_06135!D14,"'","\'"),"','TargetCode':''}")</f>
        <v>{'SheetId':'de4a50af-e3c0-40f9-b3b8-74329937463f','UId':'11eade84-eeaa-4d84-a026-d4f07dfd0db4','Col':4,'Row':14,'ColDynamic':4,'RowDynamic':11,'Format':'numberic','Value':'25887854','TargetCode':''}</v>
      </c>
    </row>
    <row r="155" spans="1:1" x14ac:dyDescent="0.2">
      <c r="A155" t="str">
        <f>CONCATENATE("{'SheetId':'de4a50af-e3c0-40f9-b3b8-74329937463f'",",","'UId':'41c3a611-63da-4794-b71e-f36916ee3396'",",'Col':",COLUMN(BCKetQuaHoatDong_06135!E14),",'Row':",ROW(BCKetQuaHoatDong_06135!E14),",","'ColDynamic':",COLUMN(BCKetQuaHoatDong_06135!E11),",","'RowDynamic':",ROW(BCKetQuaHoatDong_06135!E11),",","'Format':'numberic'",",'Value':'",SUBSTITUTE(BCKetQuaHoatDong_06135!E14,"'","\'"),"','TargetCode':''}")</f>
        <v>{'SheetId':'de4a50af-e3c0-40f9-b3b8-74329937463f','UId':'41c3a611-63da-4794-b71e-f36916ee3396','Col':5,'Row':14,'ColDynamic':5,'RowDynamic':11,'Format':'numberic','Value':'25923579','TargetCode':''}</v>
      </c>
    </row>
    <row r="156" spans="1:1" x14ac:dyDescent="0.2">
      <c r="A156" t="str">
        <f>CONCATENATE("{'SheetId':'de4a50af-e3c0-40f9-b3b8-74329937463f'",",","'UId':'68035947-acf4-47b7-b3c5-9954039c6bb1'",",'Col':",COLUMN(BCKetQuaHoatDong_06135!F14),",'Row':",ROW(BCKetQuaHoatDong_06135!F14),",","'ColDynamic':",COLUMN(BCKetQuaHoatDong_06135!F11),",","'RowDynamic':",ROW(BCKetQuaHoatDong_06135!F11),",","'Format':'numberic'",",'Value':'",SUBSTITUTE(BCKetQuaHoatDong_06135!F14,"'","\'"),"','TargetCode':''}")</f>
        <v>{'SheetId':'de4a50af-e3c0-40f9-b3b8-74329937463f','UId':'68035947-acf4-47b7-b3c5-9954039c6bb1','Col':6,'Row':14,'ColDynamic':6,'RowDynamic':11,'Format':'numberic','Value':'51811433','TargetCode':''}</v>
      </c>
    </row>
    <row r="157" spans="1:1" x14ac:dyDescent="0.2">
      <c r="A157" t="str">
        <f>CONCATENATE("{'SheetId':'de4a50af-e3c0-40f9-b3b8-74329937463f'",",","'UId':'339a1992-364d-4b7c-865b-5054556e012d'",",'Col':",COLUMN(BCKetQuaHoatDong_06135!A16),",'Row':",ROW(BCKetQuaHoatDong_06135!A16),",","'ColDynamic':",COLUMN(BCKetQuaHoatDong_06135!A13),",","'RowDynamic':",ROW(BCKetQuaHoatDong_06135!A13),",","'Format':'string'",",'Value':'",SUBSTITUTE(BCKetQuaHoatDong_06135!A16,"'","\'"),"','TargetCode':''}")</f>
        <v>{'SheetId':'de4a50af-e3c0-40f9-b3b8-74329937463f','UId':'339a1992-364d-4b7c-865b-5054556e012d','Col':1,'Row':16,'ColDynamic':1,'RowDynamic':13,'Format':'string','Value':'3','TargetCode':''}</v>
      </c>
    </row>
    <row r="158" spans="1:1" x14ac:dyDescent="0.2">
      <c r="A158" t="str">
        <f>CONCATENATE("{'SheetId':'de4a50af-e3c0-40f9-b3b8-74329937463f'",",","'UId':'62d77985-3a4b-4a58-9766-9b4a15b26a14'",",'Col':",COLUMN(BCKetQuaHoatDong_06135!B16),",'Row':",ROW(BCKetQuaHoatDong_06135!B16),",","'ColDynamic':",COLUMN(BCKetQuaHoatDong_06135!B13),",","'RowDynamic':",ROW(BCKetQuaHoatDong_06135!B13),",","'Format':'string'",",'Value':'",SUBSTITUTE(BCKetQuaHoatDong_06135!B16,"'","\'"),"','TargetCode':''}")</f>
        <v>{'SheetId':'de4a50af-e3c0-40f9-b3b8-74329937463f','UId':'62d77985-3a4b-4a58-9766-9b4a15b26a14','Col':2,'Row':16,'ColDynamic':2,'RowDynamic':13,'Format':'string','Value':'Chi phí quản trị quỹ và các chi phí khác mà công ty quản lý quỹ trả cho tổ chức cung cấp dịch vụ có liên quan (nếu có)','TargetCode':''}</v>
      </c>
    </row>
    <row r="159" spans="1:1" x14ac:dyDescent="0.2">
      <c r="A159" t="str">
        <f>CONCATENATE("{'SheetId':'de4a50af-e3c0-40f9-b3b8-74329937463f'",",","'UId':'33e7bf90-c0ec-4bdd-ae7e-79df0ca38898'",",'Col':",COLUMN(BCKetQuaHoatDong_06135!C16),",'Row':",ROW(BCKetQuaHoatDong_06135!C16),",","'ColDynamic':",COLUMN(BCKetQuaHoatDong_06135!C13),",","'RowDynamic':",ROW(BCKetQuaHoatDong_06135!C13),",","'Format':'string'",",'Value':'",SUBSTITUTE(BCKetQuaHoatDong_06135!C16,"'","\'"),"','TargetCode':''}")</f>
        <v>{'SheetId':'de4a50af-e3c0-40f9-b3b8-74329937463f','UId':'33e7bf90-c0ec-4bdd-ae7e-79df0ca38898','Col':3,'Row':16,'ColDynamic':3,'RowDynamic':13,'Format':'string','Value':'2227','TargetCode':''}</v>
      </c>
    </row>
    <row r="160" spans="1:1" x14ac:dyDescent="0.2">
      <c r="A160" t="str">
        <f>CONCATENATE("{'SheetId':'de4a50af-e3c0-40f9-b3b8-74329937463f'",",","'UId':'9b407cd2-50e9-4ac9-94c4-cefdcc88023b'",",'Col':",COLUMN(BCKetQuaHoatDong_06135!D16),",'Row':",ROW(BCKetQuaHoatDong_06135!D16),",","'ColDynamic':",COLUMN(BCKetQuaHoatDong_06135!D13),",","'RowDynamic':",ROW(BCKetQuaHoatDong_06135!D13),",","'Format':'numberic'",",'Value':'",SUBSTITUTE(BCKetQuaHoatDong_06135!D16,"'","\'"),"','TargetCode':''}")</f>
        <v>{'SheetId':'de4a50af-e3c0-40f9-b3b8-74329937463f','UId':'9b407cd2-50e9-4ac9-94c4-cefdcc88023b','Col':4,'Row':16,'ColDynamic':4,'RowDynamic':13,'Format':'numberic','Value':'34902725','TargetCode':''}</v>
      </c>
    </row>
    <row r="161" spans="1:1" x14ac:dyDescent="0.2">
      <c r="A161" t="str">
        <f>CONCATENATE("{'SheetId':'de4a50af-e3c0-40f9-b3b8-74329937463f'",",","'UId':'ebbc99fa-a665-4701-9499-f6d7281b1bbf'",",'Col':",COLUMN(BCKetQuaHoatDong_06135!E16),",'Row':",ROW(BCKetQuaHoatDong_06135!E16),",","'ColDynamic':",COLUMN(BCKetQuaHoatDong_06135!E13),",","'RowDynamic':",ROW(BCKetQuaHoatDong_06135!E13),",","'Format':'numberic'",",'Value':'",SUBSTITUTE(BCKetQuaHoatDong_06135!E16,"'","\'"),"','TargetCode':''}")</f>
        <v>{'SheetId':'de4a50af-e3c0-40f9-b3b8-74329937463f','UId':'ebbc99fa-a665-4701-9499-f6d7281b1bbf','Col':5,'Row':16,'ColDynamic':5,'RowDynamic':13,'Format':'numberic','Value':'35596595','TargetCode':''}</v>
      </c>
    </row>
    <row r="162" spans="1:1" x14ac:dyDescent="0.2">
      <c r="A162" t="str">
        <f>CONCATENATE("{'SheetId':'de4a50af-e3c0-40f9-b3b8-74329937463f'",",","'UId':'e0618133-4ce7-4bfe-9ff4-f9fcd45a68b1'",",'Col':",COLUMN(BCKetQuaHoatDong_06135!F16),",'Row':",ROW(BCKetQuaHoatDong_06135!F16),",","'ColDynamic':",COLUMN(BCKetQuaHoatDong_06135!F13),",","'RowDynamic':",ROW(BCKetQuaHoatDong_06135!F13),",","'Format':'numberic'",",'Value':'",SUBSTITUTE(BCKetQuaHoatDong_06135!F16,"'","\'"),"','TargetCode':''}")</f>
        <v>{'SheetId':'de4a50af-e3c0-40f9-b3b8-74329937463f','UId':'e0618133-4ce7-4bfe-9ff4-f9fcd45a68b1','Col':6,'Row':16,'ColDynamic':6,'RowDynamic':13,'Format':'numberic','Value':'70499320','TargetCode':''}</v>
      </c>
    </row>
    <row r="163" spans="1:1" x14ac:dyDescent="0.2">
      <c r="A163" t="str">
        <f>CONCATENATE("{'SheetId':'de4a50af-e3c0-40f9-b3b8-74329937463f'",",","'UId':'129ae678-7326-406f-be02-8f81db436c56'",",'Col':",COLUMN(BCKetQuaHoatDong_06135!A18),",'Row':",ROW(BCKetQuaHoatDong_06135!A18),",","'ColDynamic':",COLUMN(BCKetQuaHoatDong_06135!A15),",","'RowDynamic':",ROW(BCKetQuaHoatDong_06135!A15),",","'Format':'string'",",'Value':'",SUBSTITUTE(BCKetQuaHoatDong_06135!A18,"'","\'"),"','TargetCode':''}")</f>
        <v>{'SheetId':'de4a50af-e3c0-40f9-b3b8-74329937463f','UId':'129ae678-7326-406f-be02-8f81db436c56','Col':1,'Row':18,'ColDynamic':1,'RowDynamic':15,'Format':'string','Value':'4','TargetCode':''}</v>
      </c>
    </row>
    <row r="164" spans="1:1" x14ac:dyDescent="0.2">
      <c r="A164" t="str">
        <f>CONCATENATE("{'SheetId':'de4a50af-e3c0-40f9-b3b8-74329937463f'",",","'UId':'0f2ad001-9600-4e59-9911-6886a6cdb372'",",'Col':",COLUMN(BCKetQuaHoatDong_06135!B18),",'Row':",ROW(BCKetQuaHoatDong_06135!B18),",","'ColDynamic':",COLUMN(BCKetQuaHoatDong_06135!B15),",","'RowDynamic':",ROW(BCKetQuaHoatDong_06135!B15),",","'Format':'string'",",'Value':'",SUBSTITUTE(BCKetQuaHoatDong_06135!B18,"'","\'"),"','TargetCode':''}")</f>
        <v>{'SheetId':'de4a50af-e3c0-40f9-b3b8-74329937463f','UId':'0f2ad001-9600-4e59-9911-6886a6cdb372','Col':2,'Row':18,'ColDynamic':2,'RowDynamic':15,'Format':'string','Value':'Chi phí dịch vụ quản lý bất động sản (áp dụng đối với các quỹ được phép đầu tư bất động sản)','TargetCode':''}</v>
      </c>
    </row>
    <row r="165" spans="1:1" x14ac:dyDescent="0.2">
      <c r="A165" t="str">
        <f>CONCATENATE("{'SheetId':'de4a50af-e3c0-40f9-b3b8-74329937463f'",",","'UId':'eac513c2-27b2-4659-8fa2-bdb516ec7604'",",'Col':",COLUMN(BCKetQuaHoatDong_06135!C18),",'Row':",ROW(BCKetQuaHoatDong_06135!C18),",","'ColDynamic':",COLUMN(BCKetQuaHoatDong_06135!C15),",","'RowDynamic':",ROW(BCKetQuaHoatDong_06135!C15),",","'Format':'string'",",'Value':'",SUBSTITUTE(BCKetQuaHoatDong_06135!C18,"'","\'"),"','TargetCode':''}")</f>
        <v>{'SheetId':'de4a50af-e3c0-40f9-b3b8-74329937463f','UId':'eac513c2-27b2-4659-8fa2-bdb516ec7604','Col':3,'Row':18,'ColDynamic':3,'RowDynamic':15,'Format':'string','Value':'2248','TargetCode':''}</v>
      </c>
    </row>
    <row r="166" spans="1:1" x14ac:dyDescent="0.2">
      <c r="A166" t="str">
        <f>CONCATENATE("{'SheetId':'de4a50af-e3c0-40f9-b3b8-74329937463f'",",","'UId':'629881c8-9d4d-4eeb-bcd2-acb729f68cca'",",'Col':",COLUMN(BCKetQuaHoatDong_06135!D18),",'Row':",ROW(BCKetQuaHoatDong_06135!D18),",","'ColDynamic':",COLUMN(BCKetQuaHoatDong_06135!D15),",","'RowDynamic':",ROW(BCKetQuaHoatDong_06135!D15),",","'Format':'numberic'",",'Value':'",SUBSTITUTE(BCKetQuaHoatDong_06135!D18,"'","\'"),"','TargetCode':''}")</f>
        <v>{'SheetId':'de4a50af-e3c0-40f9-b3b8-74329937463f','UId':'629881c8-9d4d-4eeb-bcd2-acb729f68cca','Col':4,'Row':18,'ColDynamic':4,'RowDynamic':15,'Format':'numberic','Value':'','TargetCode':''}</v>
      </c>
    </row>
    <row r="167" spans="1:1" x14ac:dyDescent="0.2">
      <c r="A167" t="str">
        <f>CONCATENATE("{'SheetId':'de4a50af-e3c0-40f9-b3b8-74329937463f'",",","'UId':'5fd59134-e71d-4e62-a18c-9b8a93a7e1b1'",",'Col':",COLUMN(BCKetQuaHoatDong_06135!E18),",'Row':",ROW(BCKetQuaHoatDong_06135!E18),",","'ColDynamic':",COLUMN(BCKetQuaHoatDong_06135!E15),",","'RowDynamic':",ROW(BCKetQuaHoatDong_06135!E15),",","'Format':'numberic'",",'Value':'",SUBSTITUTE(BCKetQuaHoatDong_06135!E18,"'","\'"),"','TargetCode':''}")</f>
        <v>{'SheetId':'de4a50af-e3c0-40f9-b3b8-74329937463f','UId':'5fd59134-e71d-4e62-a18c-9b8a93a7e1b1','Col':5,'Row':18,'ColDynamic':5,'RowDynamic':15,'Format':'numberic','Value':'','TargetCode':''}</v>
      </c>
    </row>
    <row r="168" spans="1:1" x14ac:dyDescent="0.2">
      <c r="A168" t="str">
        <f>CONCATENATE("{'SheetId':'de4a50af-e3c0-40f9-b3b8-74329937463f'",",","'UId':'864281cd-6669-4184-a3cb-79b3b634cdbe'",",'Col':",COLUMN(BCKetQuaHoatDong_06135!F18),",'Row':",ROW(BCKetQuaHoatDong_06135!F18),",","'ColDynamic':",COLUMN(BCKetQuaHoatDong_06135!F15),",","'RowDynamic':",ROW(BCKetQuaHoatDong_06135!F15),",","'Format':'numberic'",",'Value':'",SUBSTITUTE(BCKetQuaHoatDong_06135!F18,"'","\'"),"','TargetCode':''}")</f>
        <v>{'SheetId':'de4a50af-e3c0-40f9-b3b8-74329937463f','UId':'864281cd-6669-4184-a3cb-79b3b634cdbe','Col':6,'Row':18,'ColDynamic':6,'RowDynamic':15,'Format':'numberic','Value':'','TargetCode':''}</v>
      </c>
    </row>
    <row r="169" spans="1:1" x14ac:dyDescent="0.2">
      <c r="A169" t="str">
        <f>CONCATENATE("{'SheetId':'de4a50af-e3c0-40f9-b3b8-74329937463f'",",","'UId':'b06ad317-d01f-40ec-81fa-fcca2d94258b'",",'Col':",COLUMN(BCKetQuaHoatDong_06135!A20),",'Row':",ROW(BCKetQuaHoatDong_06135!A20),",","'ColDynamic':",COLUMN(BCKetQuaHoatDong_06135!A19),",","'RowDynamic':",ROW(BCKetQuaHoatDong_06135!A19),",","'Format':'string'",",'Value':'",SUBSTITUTE(BCKetQuaHoatDong_06135!A20,"'","\'"),"','TargetCode':''}")</f>
        <v>{'SheetId':'de4a50af-e3c0-40f9-b3b8-74329937463f','UId':'b06ad317-d01f-40ec-81fa-fcca2d94258b','Col':1,'Row':20,'ColDynamic':1,'RowDynamic':19,'Format':'string','Value':'5','TargetCode':''}</v>
      </c>
    </row>
    <row r="170" spans="1:1" x14ac:dyDescent="0.2">
      <c r="A170" t="str">
        <f>CONCATENATE("{'SheetId':'de4a50af-e3c0-40f9-b3b8-74329937463f'",",","'UId':'d5711212-e45c-4554-9801-8a1c15fe2894'",",'Col':",COLUMN(BCKetQuaHoatDong_06135!B20),",'Row':",ROW(BCKetQuaHoatDong_06135!B20),",","'ColDynamic':",COLUMN(BCKetQuaHoatDong_06135!B19),",","'RowDynamic':",ROW(BCKetQuaHoatDong_06135!B19),",","'Format':'string'",",'Value':'",SUBSTITUTE(BCKetQuaHoatDong_06135!B20,"'","\'"),"','TargetCode':''}")</f>
        <v>{'SheetId':'de4a50af-e3c0-40f9-b3b8-74329937463f','UId':'d5711212-e45c-4554-9801-8a1c15fe2894','Col':2,'Row':20,'ColDynamic':2,'RowDynamic':19,'Format':'string','Value':'Chi phí dịch vụ định giá bất động sản (áp dụng đối với các quỹ được phép đầu tư bất động sản)','TargetCode':''}</v>
      </c>
    </row>
    <row r="171" spans="1:1" x14ac:dyDescent="0.2">
      <c r="A171" t="str">
        <f>CONCATENATE("{'SheetId':'de4a50af-e3c0-40f9-b3b8-74329937463f'",",","'UId':'180fa700-4ac8-4823-b6f6-4b82210ece8a'",",'Col':",COLUMN(BCKetQuaHoatDong_06135!C20),",'Row':",ROW(BCKetQuaHoatDong_06135!C20),",","'ColDynamic':",COLUMN(BCKetQuaHoatDong_06135!C19),",","'RowDynamic':",ROW(BCKetQuaHoatDong_06135!C19),",","'Format':'string'",",'Value':'",SUBSTITUTE(BCKetQuaHoatDong_06135!C20,"'","\'"),"','TargetCode':''}")</f>
        <v>{'SheetId':'de4a50af-e3c0-40f9-b3b8-74329937463f','UId':'180fa700-4ac8-4823-b6f6-4b82210ece8a','Col':3,'Row':20,'ColDynamic':3,'RowDynamic':19,'Format':'string','Value':'2249','TargetCode':''}</v>
      </c>
    </row>
    <row r="172" spans="1:1" x14ac:dyDescent="0.2">
      <c r="A172" t="str">
        <f>CONCATENATE("{'SheetId':'de4a50af-e3c0-40f9-b3b8-74329937463f'",",","'UId':'5dd47caa-9da7-4d8e-a5e2-41eb5c45b963'",",'Col':",COLUMN(BCKetQuaHoatDong_06135!D20),",'Row':",ROW(BCKetQuaHoatDong_06135!D20),",","'ColDynamic':",COLUMN(BCKetQuaHoatDong_06135!D19),",","'RowDynamic':",ROW(BCKetQuaHoatDong_06135!D19),",","'Format':'numberic'",",'Value':'",SUBSTITUTE(BCKetQuaHoatDong_06135!D20,"'","\'"),"','TargetCode':''}")</f>
        <v>{'SheetId':'de4a50af-e3c0-40f9-b3b8-74329937463f','UId':'5dd47caa-9da7-4d8e-a5e2-41eb5c45b963','Col':4,'Row':20,'ColDynamic':4,'RowDynamic':19,'Format':'numberic','Value':'','TargetCode':''}</v>
      </c>
    </row>
    <row r="173" spans="1:1" x14ac:dyDescent="0.2">
      <c r="A173" t="str">
        <f>CONCATENATE("{'SheetId':'de4a50af-e3c0-40f9-b3b8-74329937463f'",",","'UId':'ab246ee6-8f64-4cd1-8a84-9dc56f9766db'",",'Col':",COLUMN(BCKetQuaHoatDong_06135!E20),",'Row':",ROW(BCKetQuaHoatDong_06135!E20),",","'ColDynamic':",COLUMN(BCKetQuaHoatDong_06135!E19),",","'RowDynamic':",ROW(BCKetQuaHoatDong_06135!E19),",","'Format':'numberic'",",'Value':'",SUBSTITUTE(BCKetQuaHoatDong_06135!E20,"'","\'"),"','TargetCode':''}")</f>
        <v>{'SheetId':'de4a50af-e3c0-40f9-b3b8-74329937463f','UId':'ab246ee6-8f64-4cd1-8a84-9dc56f9766db','Col':5,'Row':20,'ColDynamic':5,'RowDynamic':19,'Format':'numberic','Value':'','TargetCode':''}</v>
      </c>
    </row>
    <row r="174" spans="1:1" x14ac:dyDescent="0.2">
      <c r="A174" t="str">
        <f>CONCATENATE("{'SheetId':'de4a50af-e3c0-40f9-b3b8-74329937463f'",",","'UId':'7be4aaf9-850d-4f2f-873f-2f2ac80f6212'",",'Col':",COLUMN(BCKetQuaHoatDong_06135!F20),",'Row':",ROW(BCKetQuaHoatDong_06135!F20),",","'ColDynamic':",COLUMN(BCKetQuaHoatDong_06135!F19),",","'RowDynamic':",ROW(BCKetQuaHoatDong_06135!F19),",","'Format':'numberic'",",'Value':'",SUBSTITUTE(BCKetQuaHoatDong_06135!F20,"'","\'"),"','TargetCode':''}")</f>
        <v>{'SheetId':'de4a50af-e3c0-40f9-b3b8-74329937463f','UId':'7be4aaf9-850d-4f2f-873f-2f2ac80f6212','Col':6,'Row':20,'ColDynamic':6,'RowDynamic':19,'Format':'numberic','Value':'','TargetCode':''}</v>
      </c>
    </row>
    <row r="175" spans="1:1" x14ac:dyDescent="0.2">
      <c r="A175" t="str">
        <f>CONCATENATE("{'SheetId':'de4a50af-e3c0-40f9-b3b8-74329937463f'",",","'UId':'913d40be-0ae3-44ab-853d-7a531ec05096'",",'Col':",COLUMN(BCKetQuaHoatDong_06135!A22),",'Row':",ROW(BCKetQuaHoatDong_06135!A22),",","'ColDynamic':",COLUMN(BCKetQuaHoatDong_06135!A21),",","'RowDynamic':",ROW(BCKetQuaHoatDong_06135!A21),",","'Format':'string'",",'Value':'",SUBSTITUTE(BCKetQuaHoatDong_06135!A22,"'","\'"),"','TargetCode':''}")</f>
        <v>{'SheetId':'de4a50af-e3c0-40f9-b3b8-74329937463f','UId':'913d40be-0ae3-44ab-853d-7a531ec05096','Col':1,'Row':22,'ColDynamic':1,'RowDynamic':21,'Format':'string','Value':'6','TargetCode':''}</v>
      </c>
    </row>
    <row r="176" spans="1:1" x14ac:dyDescent="0.2">
      <c r="A176" t="str">
        <f>CONCATENATE("{'SheetId':'de4a50af-e3c0-40f9-b3b8-74329937463f'",",","'UId':'b5aae083-c5e3-431e-a5aa-7eb84918dba3'",",'Col':",COLUMN(BCKetQuaHoatDong_06135!B22),",'Row':",ROW(BCKetQuaHoatDong_06135!B22),",","'ColDynamic':",COLUMN(BCKetQuaHoatDong_06135!B21),",","'RowDynamic':",ROW(BCKetQuaHoatDong_06135!B21),",","'Format':'string'",",'Value':'",SUBSTITUTE(BCKetQuaHoatDong_06135!B22,"'","\'"),"','TargetCode':''}")</f>
        <v>{'SheetId':'de4a50af-e3c0-40f9-b3b8-74329937463f','UId':'b5aae083-c5e3-431e-a5aa-7eb84918dba3','Col':2,'Row':22,'ColDynamic':2,'RowDynamic':21,'Format':'string','Value':'Chi phí kiểm toán trả cho tổ chức kiểm toán','TargetCode':''}</v>
      </c>
    </row>
    <row r="177" spans="1:1" x14ac:dyDescent="0.2">
      <c r="A177" t="str">
        <f>CONCATENATE("{'SheetId':'de4a50af-e3c0-40f9-b3b8-74329937463f'",",","'UId':'c13eb686-f9cc-453c-b158-913858a81b3c'",",'Col':",COLUMN(BCKetQuaHoatDong_06135!C22),",'Row':",ROW(BCKetQuaHoatDong_06135!C22),",","'ColDynamic':",COLUMN(BCKetQuaHoatDong_06135!C21),",","'RowDynamic':",ROW(BCKetQuaHoatDong_06135!C21),",","'Format':'string'",",'Value':'",SUBSTITUTE(BCKetQuaHoatDong_06135!C22,"'","\'"),"','TargetCode':''}")</f>
        <v>{'SheetId':'de4a50af-e3c0-40f9-b3b8-74329937463f','UId':'c13eb686-f9cc-453c-b158-913858a81b3c','Col':3,'Row':22,'ColDynamic':3,'RowDynamic':21,'Format':'string','Value':'2228','TargetCode':''}</v>
      </c>
    </row>
    <row r="178" spans="1:1" x14ac:dyDescent="0.2">
      <c r="A178" t="str">
        <f>CONCATENATE("{'SheetId':'de4a50af-e3c0-40f9-b3b8-74329937463f'",",","'UId':'4575112d-b1bb-47d9-965a-631e29bfb49b'",",'Col':",COLUMN(BCKetQuaHoatDong_06135!D22),",'Row':",ROW(BCKetQuaHoatDong_06135!D22),",","'ColDynamic':",COLUMN(BCKetQuaHoatDong_06135!D21),",","'RowDynamic':",ROW(BCKetQuaHoatDong_06135!D21),",","'Format':'numberic'",",'Value':'",SUBSTITUTE(BCKetQuaHoatDong_06135!D22,"'","\'"),"','TargetCode':''}")</f>
        <v>{'SheetId':'de4a50af-e3c0-40f9-b3b8-74329937463f','UId':'4575112d-b1bb-47d9-965a-631e29bfb49b','Col':4,'Row':22,'ColDynamic':4,'RowDynamic':21,'Format':'numberic','Value':'6627942','TargetCode':''}</v>
      </c>
    </row>
    <row r="179" spans="1:1" x14ac:dyDescent="0.2">
      <c r="A179" t="str">
        <f>CONCATENATE("{'SheetId':'de4a50af-e3c0-40f9-b3b8-74329937463f'",",","'UId':'4225a627-8650-4f4b-b85b-54a709f84a06'",",'Col':",COLUMN(BCKetQuaHoatDong_06135!E22),",'Row':",ROW(BCKetQuaHoatDong_06135!E22),",","'ColDynamic':",COLUMN(BCKetQuaHoatDong_06135!E21),",","'RowDynamic':",ROW(BCKetQuaHoatDong_06135!E21),",","'Format':'numberic'",",'Value':'",SUBSTITUTE(BCKetQuaHoatDong_06135!E22,"'","\'"),"','TargetCode':''}")</f>
        <v>{'SheetId':'de4a50af-e3c0-40f9-b3b8-74329937463f','UId':'4225a627-8650-4f4b-b85b-54a709f84a06','Col':5,'Row':22,'ColDynamic':5,'RowDynamic':21,'Format':'numberic','Value':'7338077','TargetCode':''}</v>
      </c>
    </row>
    <row r="180" spans="1:1" x14ac:dyDescent="0.2">
      <c r="A180" t="str">
        <f>CONCATENATE("{'SheetId':'de4a50af-e3c0-40f9-b3b8-74329937463f'",",","'UId':'e41d72f0-76fa-4317-9b63-143b9807f557'",",'Col':",COLUMN(BCKetQuaHoatDong_06135!F22),",'Row':",ROW(BCKetQuaHoatDong_06135!F22),",","'ColDynamic':",COLUMN(BCKetQuaHoatDong_06135!F21),",","'RowDynamic':",ROW(BCKetQuaHoatDong_06135!F21),",","'Format':'numberic'",",'Value':'",SUBSTITUTE(BCKetQuaHoatDong_06135!F22,"'","\'"),"','TargetCode':''}")</f>
        <v>{'SheetId':'de4a50af-e3c0-40f9-b3b8-74329937463f','UId':'e41d72f0-76fa-4317-9b63-143b9807f557','Col':6,'Row':22,'ColDynamic':6,'RowDynamic':21,'Format':'numberic','Value':'13966019','TargetCode':''}</v>
      </c>
    </row>
    <row r="181" spans="1:1" x14ac:dyDescent="0.2">
      <c r="A181" t="str">
        <f>CONCATENATE("{'SheetId':'de4a50af-e3c0-40f9-b3b8-74329937463f'",",","'UId':'4c1d1ed2-6600-467e-8757-beaf2f4f476b'",",'Col':",COLUMN(BCKetQuaHoatDong_06135!A24),",'Row':",ROW(BCKetQuaHoatDong_06135!A24),",","'ColDynamic':",COLUMN(BCKetQuaHoatDong_06135!A17),",","'RowDynamic':",ROW(BCKetQuaHoatDong_06135!A17),",","'Format':'string'",",'Value':'",SUBSTITUTE(BCKetQuaHoatDong_06135!A24,"'","\'"),"','TargetCode':''}")</f>
        <v>{'SheetId':'de4a50af-e3c0-40f9-b3b8-74329937463f','UId':'4c1d1ed2-6600-467e-8757-beaf2f4f476b','Col':1,'Row':24,'ColDynamic':1,'RowDynamic':17,'Format':'string','Value':'7','TargetCode':''}</v>
      </c>
    </row>
    <row r="182" spans="1:1" x14ac:dyDescent="0.2">
      <c r="A182" t="str">
        <f>CONCATENATE("{'SheetId':'de4a50af-e3c0-40f9-b3b8-74329937463f'",",","'UId':'5dd2a6a1-ee92-4b80-9cb4-02e8382b68d8'",",'Col':",COLUMN(BCKetQuaHoatDong_06135!B24),",'Row':",ROW(BCKetQuaHoatDong_06135!B24),",","'ColDynamic':",COLUMN(BCKetQuaHoatDong_06135!B17),",","'RowDynamic':",ROW(BCKetQuaHoatDong_06135!B17),",","'Format':'string'",",'Value':'",SUBSTITUTE(BCKetQuaHoatDong_06135!B24,"'","\'"),"','TargetCode':''}")</f>
        <v>{'SheetId':'de4a50af-e3c0-40f9-b3b8-74329937463f','UId':'5dd2a6a1-ee92-4b80-9cb4-02e8382b68d8','Col':2,'Row':24,'ColDynamic':2,'RowDynamic':17,'Format':'string','Value':'Chi phí dịch vụ tư vấn pháp lý, dịch vụ báo giá và các dịch vụ hợp lý khác, thù lao trả cho Ban đại diện quỹ/Hội đồng quản trị','TargetCode':''}</v>
      </c>
    </row>
    <row r="183" spans="1:1" x14ac:dyDescent="0.2">
      <c r="A183" t="str">
        <f>CONCATENATE("{'SheetId':'de4a50af-e3c0-40f9-b3b8-74329937463f'",",","'UId':'d2bb7f76-c1fa-4575-b847-9df098cc88f0'",",'Col':",COLUMN(BCKetQuaHoatDong_06135!C24),",'Row':",ROW(BCKetQuaHoatDong_06135!C24),",","'ColDynamic':",COLUMN(BCKetQuaHoatDong_06135!C17),",","'RowDynamic':",ROW(BCKetQuaHoatDong_06135!C17),",","'Format':'string'",",'Value':'",SUBSTITUTE(BCKetQuaHoatDong_06135!C24,"'","\'"),"','TargetCode':''}")</f>
        <v>{'SheetId':'de4a50af-e3c0-40f9-b3b8-74329937463f','UId':'d2bb7f76-c1fa-4575-b847-9df098cc88f0','Col':3,'Row':24,'ColDynamic':3,'RowDynamic':17,'Format':'string','Value':'2229','TargetCode':''}</v>
      </c>
    </row>
    <row r="184" spans="1:1" x14ac:dyDescent="0.2">
      <c r="A184" t="str">
        <f>CONCATENATE("{'SheetId':'de4a50af-e3c0-40f9-b3b8-74329937463f'",",","'UId':'2b7b8dd8-2af5-4b9a-83f5-6abf4696d99b'",",'Col':",COLUMN(BCKetQuaHoatDong_06135!D24),",'Row':",ROW(BCKetQuaHoatDong_06135!D24),",","'ColDynamic':",COLUMN(BCKetQuaHoatDong_06135!D17),",","'RowDynamic':",ROW(BCKetQuaHoatDong_06135!D17),",","'Format':'numberic'",",'Value':'",SUBSTITUTE(BCKetQuaHoatDong_06135!D24,"'","\'"),"','TargetCode':''}")</f>
        <v>{'SheetId':'de4a50af-e3c0-40f9-b3b8-74329937463f','UId':'2b7b8dd8-2af5-4b9a-83f5-6abf4696d99b','Col':4,'Row':24,'ColDynamic':4,'RowDynamic':17,'Format':'numberic','Value':'11000000','TargetCode':''}</v>
      </c>
    </row>
    <row r="185" spans="1:1" x14ac:dyDescent="0.2">
      <c r="A185" t="str">
        <f>CONCATENATE("{'SheetId':'de4a50af-e3c0-40f9-b3b8-74329937463f'",",","'UId':'b5593f72-8c73-4a9a-b901-a97d4651fa36'",",'Col':",COLUMN(BCKetQuaHoatDong_06135!E24),",'Row':",ROW(BCKetQuaHoatDong_06135!E24),",","'ColDynamic':",COLUMN(BCKetQuaHoatDong_06135!E17),",","'RowDynamic':",ROW(BCKetQuaHoatDong_06135!E17),",","'Format':'numberic'",",'Value':'",SUBSTITUTE(BCKetQuaHoatDong_06135!E24,"'","\'"),"','TargetCode':''}")</f>
        <v>{'SheetId':'de4a50af-e3c0-40f9-b3b8-74329937463f','UId':'b5593f72-8c73-4a9a-b901-a97d4651fa36','Col':5,'Row':24,'ColDynamic':5,'RowDynamic':17,'Format':'numberic','Value':'11000000','TargetCode':''}</v>
      </c>
    </row>
    <row r="186" spans="1:1" x14ac:dyDescent="0.2">
      <c r="A186" t="str">
        <f>CONCATENATE("{'SheetId':'de4a50af-e3c0-40f9-b3b8-74329937463f'",",","'UId':'7f0ec42c-dcb4-466d-8e01-eab83406ad56'",",'Col':",COLUMN(BCKetQuaHoatDong_06135!F24),",'Row':",ROW(BCKetQuaHoatDong_06135!F24),",","'ColDynamic':",COLUMN(BCKetQuaHoatDong_06135!F17),",","'RowDynamic':",ROW(BCKetQuaHoatDong_06135!F17),",","'Format':'numberic'",",'Value':'",SUBSTITUTE(BCKetQuaHoatDong_06135!F24,"'","\'"),"','TargetCode':''}")</f>
        <v>{'SheetId':'de4a50af-e3c0-40f9-b3b8-74329937463f','UId':'7f0ec42c-dcb4-466d-8e01-eab83406ad56','Col':6,'Row':24,'ColDynamic':6,'RowDynamic':17,'Format':'numberic','Value':'22000000','TargetCode':''}</v>
      </c>
    </row>
    <row r="187" spans="1:1" x14ac:dyDescent="0.2">
      <c r="A187" t="str">
        <f>CONCATENATE("{'SheetId':'de4a50af-e3c0-40f9-b3b8-74329937463f'",",","'UId':'07e6e33b-049c-4ccd-84eb-c356b642d3d6'",",'Col':",COLUMN(BCKetQuaHoatDong_06135!A26),",'Row':",ROW(BCKetQuaHoatDong_06135!A26),",","'ColDynamic':",COLUMN(BCKetQuaHoatDong_06135!A19),",","'RowDynamic':",ROW(BCKetQuaHoatDong_06135!A19),",","'Format':'string'",",'Value':'",SUBSTITUTE(BCKetQuaHoatDong_06135!A26,"'","\'"),"','TargetCode':''}")</f>
        <v>{'SheetId':'de4a50af-e3c0-40f9-b3b8-74329937463f','UId':'07e6e33b-049c-4ccd-84eb-c356b642d3d6','Col':1,'Row':26,'ColDynamic':1,'RowDynamic':19,'Format':'string','Value':'8','TargetCode':''}</v>
      </c>
    </row>
    <row r="188" spans="1:1" x14ac:dyDescent="0.2">
      <c r="A188" t="str">
        <f>CONCATENATE("{'SheetId':'de4a50af-e3c0-40f9-b3b8-74329937463f'",",","'UId':'667ddb8d-2cd8-42c7-a48f-4502efb90a32'",",'Col':",COLUMN(BCKetQuaHoatDong_06135!B26),",'Row':",ROW(BCKetQuaHoatDong_06135!B26),",","'ColDynamic':",COLUMN(BCKetQuaHoatDong_06135!B19),",","'RowDynamic':",ROW(BCKetQuaHoatDong_06135!B19),",","'Format':'string'",",'Value':'",SUBSTITUTE(BCKetQuaHoatDong_06135!B26,"'","\'"),"','TargetCode':''}")</f>
        <v>{'SheetId':'de4a50af-e3c0-40f9-b3b8-74329937463f','UId':'667ddb8d-2cd8-42c7-a48f-4502efb90a32','Col':2,'Row':26,'ColDynamic':2,'RowDynamic':19,'Format':'string','Value':'Chi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trị','TargetCode':''}</v>
      </c>
    </row>
    <row r="189" spans="1:1" x14ac:dyDescent="0.2">
      <c r="A189" t="str">
        <f>CONCATENATE("{'SheetId':'de4a50af-e3c0-40f9-b3b8-74329937463f'",",","'UId':'0e553800-dcd6-4e4e-9b61-2b9dbfac3a07'",",'Col':",COLUMN(BCKetQuaHoatDong_06135!C26),",'Row':",ROW(BCKetQuaHoatDong_06135!C26),",","'ColDynamic':",COLUMN(BCKetQuaHoatDong_06135!C19),",","'RowDynamic':",ROW(BCKetQuaHoatDong_06135!C19),",","'Format':'string'",",'Value':'",SUBSTITUTE(BCKetQuaHoatDong_06135!C26,"'","\'"),"','TargetCode':''}")</f>
        <v>{'SheetId':'de4a50af-e3c0-40f9-b3b8-74329937463f','UId':'0e553800-dcd6-4e4e-9b61-2b9dbfac3a07','Col':3,'Row':26,'ColDynamic':3,'RowDynamic':19,'Format':'string','Value':'2230','TargetCode':''}</v>
      </c>
    </row>
    <row r="190" spans="1:1" x14ac:dyDescent="0.2">
      <c r="A190" t="str">
        <f>CONCATENATE("{'SheetId':'de4a50af-e3c0-40f9-b3b8-74329937463f'",",","'UId':'95ed17b9-98d2-4684-90fa-8cd196c94403'",",'Col':",COLUMN(BCKetQuaHoatDong_06135!D26),",'Row':",ROW(BCKetQuaHoatDong_06135!D26),",","'ColDynamic':",COLUMN(BCKetQuaHoatDong_06135!D19),",","'RowDynamic':",ROW(BCKetQuaHoatDong_06135!D19),",","'Format':'numberic'",",'Value':'",SUBSTITUTE(BCKetQuaHoatDong_06135!D26,"'","\'"),"','TargetCode':''}")</f>
        <v>{'SheetId':'de4a50af-e3c0-40f9-b3b8-74329937463f','UId':'95ed17b9-98d2-4684-90fa-8cd196c94403','Col':4,'Row':26,'ColDynamic':4,'RowDynamic':19,'Format':'numberic','Value':'','TargetCode':''}</v>
      </c>
    </row>
    <row r="191" spans="1:1" x14ac:dyDescent="0.2">
      <c r="A191" t="str">
        <f>CONCATENATE("{'SheetId':'de4a50af-e3c0-40f9-b3b8-74329937463f'",",","'UId':'265d4109-be9d-4954-9a73-242918d51fb3'",",'Col':",COLUMN(BCKetQuaHoatDong_06135!E26),",'Row':",ROW(BCKetQuaHoatDong_06135!E26),",","'ColDynamic':",COLUMN(BCKetQuaHoatDong_06135!E19),",","'RowDynamic':",ROW(BCKetQuaHoatDong_06135!E19),",","'Format':'numberic'",",'Value':'",SUBSTITUTE(BCKetQuaHoatDong_06135!E26,"'","\'"),"','TargetCode':''}")</f>
        <v>{'SheetId':'de4a50af-e3c0-40f9-b3b8-74329937463f','UId':'265d4109-be9d-4954-9a73-242918d51fb3','Col':5,'Row':26,'ColDynamic':5,'RowDynamic':19,'Format':'numberic','Value':'','TargetCode':''}</v>
      </c>
    </row>
    <row r="192" spans="1:1" x14ac:dyDescent="0.2">
      <c r="A192" t="str">
        <f>CONCATENATE("{'SheetId':'de4a50af-e3c0-40f9-b3b8-74329937463f'",",","'UId':'b912c28c-dd8d-417a-bf9e-1253a94de716'",",'Col':",COLUMN(BCKetQuaHoatDong_06135!F26),",'Row':",ROW(BCKetQuaHoatDong_06135!F26),",","'ColDynamic':",COLUMN(BCKetQuaHoatDong_06135!F19),",","'RowDynamic':",ROW(BCKetQuaHoatDong_06135!F19),",","'Format':'numberic'",",'Value':'",SUBSTITUTE(BCKetQuaHoatDong_06135!F26,"'","\'"),"','TargetCode':''}")</f>
        <v>{'SheetId':'de4a50af-e3c0-40f9-b3b8-74329937463f','UId':'b912c28c-dd8d-417a-bf9e-1253a94de716','Col':6,'Row':26,'ColDynamic':6,'RowDynamic':19,'Format':'numberic','Value':'','TargetCode':''}</v>
      </c>
    </row>
    <row r="193" spans="1:1" x14ac:dyDescent="0.2">
      <c r="A193" t="str">
        <f>CONCATENATE("{'SheetId':'de4a50af-e3c0-40f9-b3b8-74329937463f'",",","'UId':'99ee2e5b-a33d-4f53-8095-6191d094a635'",",'Col':",COLUMN(BCKetQuaHoatDong_06135!A28),",'Row':",ROW(BCKetQuaHoatDong_06135!A28),",","'ColDynamic':",COLUMN(BCKetQuaHoatDong_06135!A21),",","'RowDynamic':",ROW(BCKetQuaHoatDong_06135!A21),",","'Format':'string'",",'Value':'",SUBSTITUTE(BCKetQuaHoatDong_06135!A28,"'","\'"),"','TargetCode':''}")</f>
        <v>{'SheetId':'de4a50af-e3c0-40f9-b3b8-74329937463f','UId':'99ee2e5b-a33d-4f53-8095-6191d094a635','Col':1,'Row':28,'ColDynamic':1,'RowDynamic':21,'Format':'string','Value':'9','TargetCode':''}</v>
      </c>
    </row>
    <row r="194" spans="1:1" x14ac:dyDescent="0.2">
      <c r="A194" t="str">
        <f>CONCATENATE("{'SheetId':'de4a50af-e3c0-40f9-b3b8-74329937463f'",",","'UId':'529cc67c-cc66-44ef-8cc6-eab4c9316ec7'",",'Col':",COLUMN(BCKetQuaHoatDong_06135!B28),",'Row':",ROW(BCKetQuaHoatDong_06135!B28),",","'ColDynamic':",COLUMN(BCKetQuaHoatDong_06135!B21),",","'RowDynamic':",ROW(BCKetQuaHoatDong_06135!B21),",","'Format':'string'",",'Value':'",SUBSTITUTE(BCKetQuaHoatDong_06135!B28,"'","\'"),"','TargetCode':''}")</f>
        <v>{'SheetId':'de4a50af-e3c0-40f9-b3b8-74329937463f','UId':'529cc67c-cc66-44ef-8cc6-eab4c9316ec7','Col':2,'Row':28,'ColDynamic':2,'RowDynamic':21,'Format':'string','Value':'Chi phí liên quan đến thực hiện các giao dịch tài sản của quỹ/công ty','TargetCode':''}</v>
      </c>
    </row>
    <row r="195" spans="1:1" x14ac:dyDescent="0.2">
      <c r="A195" t="str">
        <f>CONCATENATE("{'SheetId':'de4a50af-e3c0-40f9-b3b8-74329937463f'",",","'UId':'5214ffec-f7c9-4b54-ac39-4eab9e6df854'",",'Col':",COLUMN(BCKetQuaHoatDong_06135!C28),",'Row':",ROW(BCKetQuaHoatDong_06135!C28),",","'ColDynamic':",COLUMN(BCKetQuaHoatDong_06135!C21),",","'RowDynamic':",ROW(BCKetQuaHoatDong_06135!C21),",","'Format':'string'",",'Value':'",SUBSTITUTE(BCKetQuaHoatDong_06135!C28,"'","\'"),"','TargetCode':''}")</f>
        <v>{'SheetId':'de4a50af-e3c0-40f9-b3b8-74329937463f','UId':'5214ffec-f7c9-4b54-ac39-4eab9e6df854','Col':3,'Row':28,'ColDynamic':3,'RowDynamic':21,'Format':'string','Value':'2231','TargetCode':''}</v>
      </c>
    </row>
    <row r="196" spans="1:1" x14ac:dyDescent="0.2">
      <c r="A196" t="str">
        <f>CONCATENATE("{'SheetId':'de4a50af-e3c0-40f9-b3b8-74329937463f'",",","'UId':'76aa4da7-ae9d-4cb7-9ef9-0b4f5c66db21'",",'Col':",COLUMN(BCKetQuaHoatDong_06135!D28),",'Row':",ROW(BCKetQuaHoatDong_06135!D28),",","'ColDynamic':",COLUMN(BCKetQuaHoatDong_06135!D21),",","'RowDynamic':",ROW(BCKetQuaHoatDong_06135!D21),",","'Format':'numberic'",",'Value':'",SUBSTITUTE(BCKetQuaHoatDong_06135!D28,"'","\'"),"','TargetCode':''}")</f>
        <v>{'SheetId':'de4a50af-e3c0-40f9-b3b8-74329937463f','UId':'76aa4da7-ae9d-4cb7-9ef9-0b4f5c66db21','Col':4,'Row':28,'ColDynamic':4,'RowDynamic':21,'Format':'numberic','Value':'','TargetCode':''}</v>
      </c>
    </row>
    <row r="197" spans="1:1" x14ac:dyDescent="0.2">
      <c r="A197" t="str">
        <f>CONCATENATE("{'SheetId':'de4a50af-e3c0-40f9-b3b8-74329937463f'",",","'UId':'8678c88f-e025-419b-855d-6d3c2027abac'",",'Col':",COLUMN(BCKetQuaHoatDong_06135!E28),",'Row':",ROW(BCKetQuaHoatDong_06135!E28),",","'ColDynamic':",COLUMN(BCKetQuaHoatDong_06135!E21),",","'RowDynamic':",ROW(BCKetQuaHoatDong_06135!E21),",","'Format':'numberic'",",'Value':'",SUBSTITUTE(BCKetQuaHoatDong_06135!E28,"'","\'"),"','TargetCode':''}")</f>
        <v>{'SheetId':'de4a50af-e3c0-40f9-b3b8-74329937463f','UId':'8678c88f-e025-419b-855d-6d3c2027abac','Col':5,'Row':28,'ColDynamic':5,'RowDynamic':21,'Format':'numberic','Value':'','TargetCode':''}</v>
      </c>
    </row>
    <row r="198" spans="1:1" x14ac:dyDescent="0.2">
      <c r="A198" t="str">
        <f>CONCATENATE("{'SheetId':'de4a50af-e3c0-40f9-b3b8-74329937463f'",",","'UId':'58d56143-0f43-401e-9587-49ff3724aac5'",",'Col':",COLUMN(BCKetQuaHoatDong_06135!F28),",'Row':",ROW(BCKetQuaHoatDong_06135!F28),",","'ColDynamic':",COLUMN(BCKetQuaHoatDong_06135!F21),",","'RowDynamic':",ROW(BCKetQuaHoatDong_06135!F21),",","'Format':'numberic'",",'Value':'",SUBSTITUTE(BCKetQuaHoatDong_06135!F28,"'","\'"),"','TargetCode':''}")</f>
        <v>{'SheetId':'de4a50af-e3c0-40f9-b3b8-74329937463f','UId':'58d56143-0f43-401e-9587-49ff3724aac5','Col':6,'Row':28,'ColDynamic':6,'RowDynamic':21,'Format':'numberic','Value':'','TargetCode':''}</v>
      </c>
    </row>
    <row r="199" spans="1:1" x14ac:dyDescent="0.2">
      <c r="A199" t="str">
        <f>CONCATENATE("{'SheetId':'de4a50af-e3c0-40f9-b3b8-74329937463f'",",","'UId':'89a14a3a-fb2d-4691-8bda-a745efe51ac4'",",'Col':",COLUMN(BCKetQuaHoatDong_06135!A30),",'Row':",ROW(BCKetQuaHoatDong_06135!A30),",","'ColDynamic':",COLUMN(BCKetQuaHoatDong_06135!A23),",","'RowDynamic':",ROW(BCKetQuaHoatDong_06135!A23),",","'Format':'string'",",'Value':'",SUBSTITUTE(BCKetQuaHoatDong_06135!A30,"'","\'"),"','TargetCode':''}")</f>
        <v>{'SheetId':'de4a50af-e3c0-40f9-b3b8-74329937463f','UId':'89a14a3a-fb2d-4691-8bda-a745efe51ac4','Col':1,'Row':30,'ColDynamic':1,'RowDynamic':23,'Format':'string','Value':'10','TargetCode':''}</v>
      </c>
    </row>
    <row r="200" spans="1:1" x14ac:dyDescent="0.2">
      <c r="A200" t="str">
        <f>CONCATENATE("{'SheetId':'de4a50af-e3c0-40f9-b3b8-74329937463f'",",","'UId':'5d5ad138-33c3-4b14-9d95-8a0fa388d81d'",",'Col':",COLUMN(BCKetQuaHoatDong_06135!B30),",'Row':",ROW(BCKetQuaHoatDong_06135!B30),",","'ColDynamic':",COLUMN(BCKetQuaHoatDong_06135!B23),",","'RowDynamic':",ROW(BCKetQuaHoatDong_06135!B23),",","'Format':'string'",",'Value':'",SUBSTITUTE(BCKetQuaHoatDong_06135!B30,"'","\'"),"','TargetCode':''}")</f>
        <v>{'SheetId':'de4a50af-e3c0-40f9-b3b8-74329937463f','UId':'5d5ad138-33c3-4b14-9d95-8a0fa388d81d','Col':2,'Row':30,'ColDynamic':2,'RowDynamic':23,'Format':'string','Value':'Các loại chi phí khác (nêu chi tiết)','TargetCode':''}</v>
      </c>
    </row>
    <row r="201" spans="1:1" x14ac:dyDescent="0.2">
      <c r="A201" t="str">
        <f>CONCATENATE("{'SheetId':'de4a50af-e3c0-40f9-b3b8-74329937463f'",",","'UId':'d25a94ec-9111-4000-bebe-b65516ecbaf4'",",'Col':",COLUMN(BCKetQuaHoatDong_06135!C30),",'Row':",ROW(BCKetQuaHoatDong_06135!C30),",","'ColDynamic':",COLUMN(BCKetQuaHoatDong_06135!C23),",","'RowDynamic':",ROW(BCKetQuaHoatDong_06135!C23),",","'Format':'string'",",'Value':'",SUBSTITUTE(BCKetQuaHoatDong_06135!C30,"'","\'"),"','TargetCode':''}")</f>
        <v>{'SheetId':'de4a50af-e3c0-40f9-b3b8-74329937463f','UId':'d25a94ec-9111-4000-bebe-b65516ecbaf4','Col':3,'Row':30,'ColDynamic':3,'RowDynamic':23,'Format':'string','Value':'2232','TargetCode':''}</v>
      </c>
    </row>
    <row r="202" spans="1:1" x14ac:dyDescent="0.2">
      <c r="A202" t="str">
        <f>CONCATENATE("{'SheetId':'de4a50af-e3c0-40f9-b3b8-74329937463f'",",","'UId':'c0428e2e-70a8-4a1f-9163-24bfffccc9c3'",",'Col':",COLUMN(BCKetQuaHoatDong_06135!D30),",'Row':",ROW(BCKetQuaHoatDong_06135!D30),",","'ColDynamic':",COLUMN(BCKetQuaHoatDong_06135!D23),",","'RowDynamic':",ROW(BCKetQuaHoatDong_06135!D23),",","'Format':'numberic'",",'Value':'",SUBSTITUTE(BCKetQuaHoatDong_06135!D30,"'","\'"),"','TargetCode':''}")</f>
        <v>{'SheetId':'de4a50af-e3c0-40f9-b3b8-74329937463f','UId':'c0428e2e-70a8-4a1f-9163-24bfffccc9c3','Col':4,'Row':30,'ColDynamic':4,'RowDynamic':23,'Format':'numberic','Value':'2531508','TargetCode':''}</v>
      </c>
    </row>
    <row r="203" spans="1:1" x14ac:dyDescent="0.2">
      <c r="A203" t="str">
        <f>CONCATENATE("{'SheetId':'de4a50af-e3c0-40f9-b3b8-74329937463f'",",","'UId':'7d816fa3-c193-4c2d-b2eb-4417f5e50dc9'",",'Col':",COLUMN(BCKetQuaHoatDong_06135!E30),",'Row':",ROW(BCKetQuaHoatDong_06135!E30),",","'ColDynamic':",COLUMN(BCKetQuaHoatDong_06135!E23),",","'RowDynamic':",ROW(BCKetQuaHoatDong_06135!E23),",","'Format':'numberic'",",'Value':'",SUBSTITUTE(BCKetQuaHoatDong_06135!E30,"'","\'"),"','TargetCode':''}")</f>
        <v>{'SheetId':'de4a50af-e3c0-40f9-b3b8-74329937463f','UId':'7d816fa3-c193-4c2d-b2eb-4417f5e50dc9','Col':5,'Row':30,'ColDynamic':5,'RowDynamic':23,'Format':'numberic','Value':'6102741','TargetCode':''}</v>
      </c>
    </row>
    <row r="204" spans="1:1" x14ac:dyDescent="0.2">
      <c r="A204" t="str">
        <f>CONCATENATE("{'SheetId':'de4a50af-e3c0-40f9-b3b8-74329937463f'",",","'UId':'af6dae81-419d-429b-8e00-65fb347a156c'",",'Col':",COLUMN(BCKetQuaHoatDong_06135!F30),",'Row':",ROW(BCKetQuaHoatDong_06135!F30),",","'ColDynamic':",COLUMN(BCKetQuaHoatDong_06135!F23),",","'RowDynamic':",ROW(BCKetQuaHoatDong_06135!F23),",","'Format':'numberic'",",'Value':'",SUBSTITUTE(BCKetQuaHoatDong_06135!F30,"'","\'"),"','TargetCode':''}")</f>
        <v>{'SheetId':'de4a50af-e3c0-40f9-b3b8-74329937463f','UId':'af6dae81-419d-429b-8e00-65fb347a156c','Col':6,'Row':30,'ColDynamic':6,'RowDynamic':23,'Format':'numberic','Value':'8634249','TargetCode':''}</v>
      </c>
    </row>
    <row r="205" spans="1:1" x14ac:dyDescent="0.2">
      <c r="A205" t="str">
        <f>CONCATENATE("{'SheetId':'de4a50af-e3c0-40f9-b3b8-74329937463f'",",","'UId':'dc295710-44de-48f7-aa02-c34f9f55dedc'",",'Col':",COLUMN(BCKetQuaHoatDong_06135!A32),",'Row':",ROW(BCKetQuaHoatDong_06135!A32),",","'ColDynamic':",COLUMN(BCKetQuaHoatDong_06135!A15),",","'RowDynamic':",ROW(BCKetQuaHoatDong_06135!A15),",","'Format':'numberic'",",'Value':'",SUBSTITUTE(BCKetQuaHoatDong_06135!A32,"'","\'"),"','TargetCode':''}")</f>
        <v>{'SheetId':'de4a50af-e3c0-40f9-b3b8-74329937463f','UId':'dc295710-44de-48f7-aa02-c34f9f55dedc','Col':1,'Row':32,'ColDynamic':1,'RowDynamic':15,'Format':'numberic','Value':'','TargetCode':''}</v>
      </c>
    </row>
    <row r="206" spans="1:1" x14ac:dyDescent="0.2">
      <c r="A206" t="str">
        <f>CONCATENATE("{'SheetId':'de4a50af-e3c0-40f9-b3b8-74329937463f'",",","'UId':'00ae1fe8-cf3e-4902-a8d7-525156dc8804'",",'Col':",COLUMN(BCKetQuaHoatDong_06135!B32),",'Row':",ROW(BCKetQuaHoatDong_06135!B32),",","'ColDynamic':",COLUMN(BCKetQuaHoatDong_06135!B15),",","'RowDynamic':",ROW(BCKetQuaHoatDong_06135!B15),",","'Format':'string'",",'Value':'",SUBSTITUTE(BCKetQuaHoatDong_06135!B32,"'","\'"),"','TargetCode':''}")</f>
        <v>{'SheetId':'de4a50af-e3c0-40f9-b3b8-74329937463f','UId':'00ae1fe8-cf3e-4902-a8d7-525156dc8804','Col':2,'Row':32,'ColDynamic':2,'RowDynamic':15,'Format':'string','Value':'','TargetCode':''}</v>
      </c>
    </row>
    <row r="207" spans="1:1" x14ac:dyDescent="0.2">
      <c r="A207" t="str">
        <f>CONCATENATE("{'SheetId':'de4a50af-e3c0-40f9-b3b8-74329937463f'",",","'UId':'b1c71c50-a6c3-4e18-9de9-92f72ae436c9'",",'Col':",COLUMN(BCKetQuaHoatDong_06135!C32),",'Row':",ROW(BCKetQuaHoatDong_06135!C32),",","'ColDynamic':",COLUMN(BCKetQuaHoatDong_06135!C15),",","'RowDynamic':",ROW(BCKetQuaHoatDong_06135!C15),",","'Format':'numberic'",",'Value':'",SUBSTITUTE(BCKetQuaHoatDong_06135!C32,"'","\'"),"','TargetCode':''}")</f>
        <v>{'SheetId':'de4a50af-e3c0-40f9-b3b8-74329937463f','UId':'b1c71c50-a6c3-4e18-9de9-92f72ae436c9','Col':3,'Row':32,'ColDynamic':3,'RowDynamic':15,'Format':'numberic','Value':'','TargetCode':''}</v>
      </c>
    </row>
    <row r="208" spans="1:1" x14ac:dyDescent="0.2">
      <c r="A208" t="str">
        <f>CONCATENATE("{'SheetId':'de4a50af-e3c0-40f9-b3b8-74329937463f'",",","'UId':'233f9868-28ff-43fb-9da4-236a49a355bd'",",'Col':",COLUMN(BCKetQuaHoatDong_06135!D32),",'Row':",ROW(BCKetQuaHoatDong_06135!D32),",","'ColDynamic':",COLUMN(BCKetQuaHoatDong_06135!D15),",","'RowDynamic':",ROW(BCKetQuaHoatDong_06135!D15),",","'Format':'numberic'",",'Value':'",SUBSTITUTE(BCKetQuaHoatDong_06135!D32,"'","\'"),"','TargetCode':''}")</f>
        <v>{'SheetId':'de4a50af-e3c0-40f9-b3b8-74329937463f','UId':'233f9868-28ff-43fb-9da4-236a49a355bd','Col':4,'Row':32,'ColDynamic':4,'RowDynamic':15,'Format':'numberic','Value':'','TargetCode':''}</v>
      </c>
    </row>
    <row r="209" spans="1:1" x14ac:dyDescent="0.2">
      <c r="A209" t="str">
        <f>CONCATENATE("{'SheetId':'de4a50af-e3c0-40f9-b3b8-74329937463f'",",","'UId':'152a4541-5257-49fe-9402-f4e0b185d785'",",'Col':",COLUMN(BCKetQuaHoatDong_06135!E32),",'Row':",ROW(BCKetQuaHoatDong_06135!E32),",","'ColDynamic':",COLUMN(BCKetQuaHoatDong_06135!E15),",","'RowDynamic':",ROW(BCKetQuaHoatDong_06135!E15),",","'Format':'numberic'",",'Value':'",SUBSTITUTE(BCKetQuaHoatDong_06135!E32,"'","\'"),"','TargetCode':''}")</f>
        <v>{'SheetId':'de4a50af-e3c0-40f9-b3b8-74329937463f','UId':'152a4541-5257-49fe-9402-f4e0b185d785','Col':5,'Row':32,'ColDynamic':5,'RowDynamic':15,'Format':'numberic','Value':'','TargetCode':''}</v>
      </c>
    </row>
    <row r="210" spans="1:1" x14ac:dyDescent="0.2">
      <c r="A210" t="str">
        <f>CONCATENATE("{'SheetId':'de4a50af-e3c0-40f9-b3b8-74329937463f'",",","'UId':'f8321afe-91ea-410c-9855-5944d5e0dd6d'",",'Col':",COLUMN(BCKetQuaHoatDong_06135!F32),",'Row':",ROW(BCKetQuaHoatDong_06135!F32),",","'ColDynamic':",COLUMN(BCKetQuaHoatDong_06135!F15),",","'RowDynamic':",ROW(BCKetQuaHoatDong_06135!F15),",","'Format':'numberic'",",'Value':'",SUBSTITUTE(BCKetQuaHoatDong_06135!F32,"'","\'"),"','TargetCode':''}")</f>
        <v>{'SheetId':'de4a50af-e3c0-40f9-b3b8-74329937463f','UId':'f8321afe-91ea-410c-9855-5944d5e0dd6d','Col':6,'Row':32,'ColDynamic':6,'RowDynamic':15,'Format':'numberic','Value':'','TargetCode':''}</v>
      </c>
    </row>
    <row r="211" spans="1:1" x14ac:dyDescent="0.2">
      <c r="A211" t="str">
        <f>CONCATENATE("{'SheetId':'de4a50af-e3c0-40f9-b3b8-74329937463f'",",","'UId':'e1b13ad5-7002-48ba-a903-00d9549498fc'",",'Col':",COLUMN(BCKetQuaHoatDong_06135!D33),",'Row':",ROW(BCKetQuaHoatDong_06135!D33),",","'Format':'numberic'",",'Value':'",SUBSTITUTE(BCKetQuaHoatDong_06135!D33,"'","\'"),"','TargetCode':''}")</f>
        <v>{'SheetId':'de4a50af-e3c0-40f9-b3b8-74329937463f','UId':'e1b13ad5-7002-48ba-a903-00d9549498fc','Col':4,'Row':33,'Format':'numberic','Value':'-78081170','TargetCode':''}</v>
      </c>
    </row>
    <row r="212" spans="1:1" x14ac:dyDescent="0.2">
      <c r="A212" t="str">
        <f>CONCATENATE("{'SheetId':'de4a50af-e3c0-40f9-b3b8-74329937463f'",",","'UId':'407396df-3020-4bf6-8580-c1f2f327cb45'",",'Col':",COLUMN(BCKetQuaHoatDong_06135!E33),",'Row':",ROW(BCKetQuaHoatDong_06135!E33),",","'Format':'numberic'",",'Value':'",SUBSTITUTE(BCKetQuaHoatDong_06135!E33,"'","\'"),"','TargetCode':''}")</f>
        <v>{'SheetId':'de4a50af-e3c0-40f9-b3b8-74329937463f','UId':'407396df-3020-4bf6-8580-c1f2f327cb45','Col':5,'Row':33,'Format':'numberic','Value':'-61522796','TargetCode':''}</v>
      </c>
    </row>
    <row r="213" spans="1:1" x14ac:dyDescent="0.2">
      <c r="A213" t="str">
        <f>CONCATENATE("{'SheetId':'de4a50af-e3c0-40f9-b3b8-74329937463f'",",","'UId':'662719f9-5bff-41fb-8b54-bd3fa7f97cb7'",",'Col':",COLUMN(BCKetQuaHoatDong_06135!F33),",'Row':",ROW(BCKetQuaHoatDong_06135!F33),",","'Format':'numberic'",",'Value':'",SUBSTITUTE(BCKetQuaHoatDong_06135!F33,"'","\'"),"','TargetCode':''}")</f>
        <v>{'SheetId':'de4a50af-e3c0-40f9-b3b8-74329937463f','UId':'662719f9-5bff-41fb-8b54-bd3fa7f97cb7','Col':6,'Row':33,'Format':'numberic','Value':'-139603966','TargetCode':''}</v>
      </c>
    </row>
    <row r="214" spans="1:1" x14ac:dyDescent="0.2">
      <c r="A214" t="str">
        <f>CONCATENATE("{'SheetId':'de4a50af-e3c0-40f9-b3b8-74329937463f'",",","'UId':'14b00c63-8ca3-42a6-827f-8340e5765586'",",'Col':",COLUMN(BCKetQuaHoatDong_06135!D34),",'Row':",ROW(BCKetQuaHoatDong_06135!D34),",","'Format':'numberic'",",'Value':'",SUBSTITUTE(BCKetQuaHoatDong_06135!D34,"'","\'"),"','TargetCode':''}")</f>
        <v>{'SheetId':'de4a50af-e3c0-40f9-b3b8-74329937463f','UId':'14b00c63-8ca3-42a6-827f-8340e5765586','Col':4,'Row':34,'Format':'numberic','Value':'-153989550','TargetCode':''}</v>
      </c>
    </row>
    <row r="215" spans="1:1" x14ac:dyDescent="0.2">
      <c r="A215" t="str">
        <f>CONCATENATE("{'SheetId':'de4a50af-e3c0-40f9-b3b8-74329937463f'",",","'UId':'dd6a8d72-3931-4a26-8edc-3c5234b75e01'",",'Col':",COLUMN(BCKetQuaHoatDong_06135!E34),",'Row':",ROW(BCKetQuaHoatDong_06135!E34),",","'Format':'numberic'",",'Value':'",SUBSTITUTE(BCKetQuaHoatDong_06135!E34,"'","\'"),"','TargetCode':''}")</f>
        <v>{'SheetId':'de4a50af-e3c0-40f9-b3b8-74329937463f','UId':'dd6a8d72-3931-4a26-8edc-3c5234b75e01','Col':5,'Row':34,'Format':'numberic','Value':'3737205700','TargetCode':''}</v>
      </c>
    </row>
    <row r="216" spans="1:1" x14ac:dyDescent="0.2">
      <c r="A216" t="str">
        <f>CONCATENATE("{'SheetId':'de4a50af-e3c0-40f9-b3b8-74329937463f'",",","'UId':'c818795a-2edb-4403-90e0-d3f97e88d2e1'",",'Col':",COLUMN(BCKetQuaHoatDong_06135!F34),",'Row':",ROW(BCKetQuaHoatDong_06135!F34),",","'Format':'numberic'",",'Value':'",SUBSTITUTE(BCKetQuaHoatDong_06135!F34,"'","\'"),"','TargetCode':''}")</f>
        <v>{'SheetId':'de4a50af-e3c0-40f9-b3b8-74329937463f','UId':'c818795a-2edb-4403-90e0-d3f97e88d2e1','Col':6,'Row':34,'Format':'numberic','Value':'3583216150','TargetCode':''}</v>
      </c>
    </row>
    <row r="217" spans="1:1" x14ac:dyDescent="0.2">
      <c r="A217" t="str">
        <f>CONCATENATE("{'SheetId':'de4a50af-e3c0-40f9-b3b8-74329937463f'",",","'UId':'9eeeb991-8e20-49ba-a327-38ee1998425e'",",'Col':",COLUMN(BCKetQuaHoatDong_06135!D35),",'Row':",ROW(BCKetQuaHoatDong_06135!D35),",","'Format':'numberic'",",'Value':'",SUBSTITUTE(BCKetQuaHoatDong_06135!D35,"'","\'"),"','TargetCode':''}")</f>
        <v>{'SheetId':'de4a50af-e3c0-40f9-b3b8-74329937463f','UId':'9eeeb991-8e20-49ba-a327-38ee1998425e','Col':4,'Row':35,'Format':'numberic','Value':'','TargetCode':''}</v>
      </c>
    </row>
    <row r="218" spans="1:1" x14ac:dyDescent="0.2">
      <c r="A218" t="str">
        <f>CONCATENATE("{'SheetId':'de4a50af-e3c0-40f9-b3b8-74329937463f'",",","'UId':'55725831-0d2e-4a15-a20f-73a5675637a4'",",'Col':",COLUMN(BCKetQuaHoatDong_06135!E35),",'Row':",ROW(BCKetQuaHoatDong_06135!E35),",","'Format':'numberic'",",'Value':'",SUBSTITUTE(BCKetQuaHoatDong_06135!E35,"'","\'"),"','TargetCode':''}")</f>
        <v>{'SheetId':'de4a50af-e3c0-40f9-b3b8-74329937463f','UId':'55725831-0d2e-4a15-a20f-73a5675637a4','Col':5,'Row':35,'Format':'numberic','Value':'','TargetCode':''}</v>
      </c>
    </row>
    <row r="219" spans="1:1" x14ac:dyDescent="0.2">
      <c r="A219" t="str">
        <f>CONCATENATE("{'SheetId':'de4a50af-e3c0-40f9-b3b8-74329937463f'",",","'UId':'41edb199-dfd1-4da2-b2de-60e7ef964f54'",",'Col':",COLUMN(BCKetQuaHoatDong_06135!F35),",'Row':",ROW(BCKetQuaHoatDong_06135!F35),",","'Format':'numberic'",",'Value':'",SUBSTITUTE(BCKetQuaHoatDong_06135!F35,"'","\'"),"','TargetCode':''}")</f>
        <v>{'SheetId':'de4a50af-e3c0-40f9-b3b8-74329937463f','UId':'41edb199-dfd1-4da2-b2de-60e7ef964f54','Col':6,'Row':35,'Format':'numberic','Value':'','TargetCode':''}</v>
      </c>
    </row>
    <row r="220" spans="1:1" x14ac:dyDescent="0.2">
      <c r="A220" t="str">
        <f>CONCATENATE("{'SheetId':'de4a50af-e3c0-40f9-b3b8-74329937463f'",",","'UId':'9022da46-ba84-48c5-b617-4cf4add14349'",",'Col':",COLUMN(BCKetQuaHoatDong_06135!D36),",'Row':",ROW(BCKetQuaHoatDong_06135!D36),",","'Format':'numberic'",",'Value':'",SUBSTITUTE(BCKetQuaHoatDong_06135!D36,"'","\'"),"','TargetCode':''}")</f>
        <v>{'SheetId':'de4a50af-e3c0-40f9-b3b8-74329937463f','UId':'9022da46-ba84-48c5-b617-4cf4add14349','Col':4,'Row':36,'Format':'numberic','Value':'-153989550','TargetCode':''}</v>
      </c>
    </row>
    <row r="221" spans="1:1" x14ac:dyDescent="0.2">
      <c r="A221" t="str">
        <f>CONCATENATE("{'SheetId':'de4a50af-e3c0-40f9-b3b8-74329937463f'",",","'UId':'6b5acf58-968c-42b5-b004-19321b2321b7'",",'Col':",COLUMN(BCKetQuaHoatDong_06135!E36),",'Row':",ROW(BCKetQuaHoatDong_06135!E36),",","'Format':'numberic'",",'Value':'",SUBSTITUTE(BCKetQuaHoatDong_06135!E36,"'","\'"),"','TargetCode':''}")</f>
        <v>{'SheetId':'de4a50af-e3c0-40f9-b3b8-74329937463f','UId':'6b5acf58-968c-42b5-b004-19321b2321b7','Col':5,'Row':36,'Format':'numberic','Value':'3737205700','TargetCode':''}</v>
      </c>
    </row>
    <row r="222" spans="1:1" x14ac:dyDescent="0.2">
      <c r="A222" t="str">
        <f>CONCATENATE("{'SheetId':'de4a50af-e3c0-40f9-b3b8-74329937463f'",",","'UId':'d86a7f93-e947-476e-879f-746a3fbd54a2'",",'Col':",COLUMN(BCKetQuaHoatDong_06135!F36),",'Row':",ROW(BCKetQuaHoatDong_06135!F36),",","'Format':'numberic'",",'Value':'",SUBSTITUTE(BCKetQuaHoatDong_06135!F36,"'","\'"),"','TargetCode':''}")</f>
        <v>{'SheetId':'de4a50af-e3c0-40f9-b3b8-74329937463f','UId':'d86a7f93-e947-476e-879f-746a3fbd54a2','Col':6,'Row':36,'Format':'numberic','Value':'3583216150','TargetCode':''}</v>
      </c>
    </row>
    <row r="223" spans="1:1" x14ac:dyDescent="0.2">
      <c r="A223" t="str">
        <f>CONCATENATE("{'SheetId':'de4a50af-e3c0-40f9-b3b8-74329937463f'",",","'UId':'7b346155-21f7-4fe7-b214-cf6c4b0596fd'",",'Col':",COLUMN(BCKetQuaHoatDong_06135!D37),",'Row':",ROW(BCKetQuaHoatDong_06135!D37),",","'Format':'numberic'",",'Value':'",SUBSTITUTE(BCKetQuaHoatDong_06135!D37,"'","\'"),"','TargetCode':''}")</f>
        <v>{'SheetId':'de4a50af-e3c0-40f9-b3b8-74329937463f','UId':'7b346155-21f7-4fe7-b214-cf6c4b0596fd','Col':4,'Row':37,'Format':'numberic','Value':'-232070720','TargetCode':''}</v>
      </c>
    </row>
    <row r="224" spans="1:1" x14ac:dyDescent="0.2">
      <c r="A224" t="str">
        <f>CONCATENATE("{'SheetId':'de4a50af-e3c0-40f9-b3b8-74329937463f'",",","'UId':'6d3c97e6-0737-423a-a688-418686058014'",",'Col':",COLUMN(BCKetQuaHoatDong_06135!E37),",'Row':",ROW(BCKetQuaHoatDong_06135!E37),",","'Format':'numberic'",",'Value':'",SUBSTITUTE(BCKetQuaHoatDong_06135!E37,"'","\'"),"','TargetCode':''}")</f>
        <v>{'SheetId':'de4a50af-e3c0-40f9-b3b8-74329937463f','UId':'6d3c97e6-0737-423a-a688-418686058014','Col':5,'Row':37,'Format':'numberic','Value':'3675682904','TargetCode':''}</v>
      </c>
    </row>
    <row r="225" spans="1:1" x14ac:dyDescent="0.2">
      <c r="A225" t="str">
        <f>CONCATENATE("{'SheetId':'de4a50af-e3c0-40f9-b3b8-74329937463f'",",","'UId':'0b59b19a-63b9-4407-9fe9-f895cbb1a047'",",'Col':",COLUMN(BCKetQuaHoatDong_06135!F37),",'Row':",ROW(BCKetQuaHoatDong_06135!F37),",","'Format':'numberic'",",'Value':'",SUBSTITUTE(BCKetQuaHoatDong_06135!F37,"'","\'"),"','TargetCode':''}")</f>
        <v>{'SheetId':'de4a50af-e3c0-40f9-b3b8-74329937463f','UId':'0b59b19a-63b9-4407-9fe9-f895cbb1a047','Col':6,'Row':37,'Format':'numberic','Value':'3443612184','TargetCode':''}</v>
      </c>
    </row>
    <row r="226" spans="1:1" x14ac:dyDescent="0.2">
      <c r="A226" t="str">
        <f>CONCATENATE("{'SheetId':'de4a50af-e3c0-40f9-b3b8-74329937463f'",",","'UId':'5ca34ea1-f7e4-42a7-85c5-1df0035d0acb'",",'Col':",COLUMN(BCKetQuaHoatDong_06135!D38),",'Row':",ROW(BCKetQuaHoatDong_06135!D38),",","'Format':'numberic'",",'Value':'",SUBSTITUTE(BCKetQuaHoatDong_06135!D38,"'","\'"),"','TargetCode':''}")</f>
        <v>{'SheetId':'de4a50af-e3c0-40f9-b3b8-74329937463f','UId':'5ca34ea1-f7e4-42a7-85c5-1df0035d0acb','Col':4,'Row':38,'Format':'numberic','Value':'68745700254','TargetCode':''}</v>
      </c>
    </row>
    <row r="227" spans="1:1" x14ac:dyDescent="0.2">
      <c r="A227" t="str">
        <f>CONCATENATE("{'SheetId':'de4a50af-e3c0-40f9-b3b8-74329937463f'",",","'UId':'8bacf2e9-e145-45cb-af1e-27c81c94a98e'",",'Col':",COLUMN(BCKetQuaHoatDong_06135!E38),",'Row':",ROW(BCKetQuaHoatDong_06135!E38),",","'Format':'numberic'",",'Value':'",SUBSTITUTE(BCKetQuaHoatDong_06135!E38,"'","\'"),"','TargetCode':''}")</f>
        <v>{'SheetId':'de4a50af-e3c0-40f9-b3b8-74329937463f','UId':'8bacf2e9-e145-45cb-af1e-27c81c94a98e','Col':5,'Row':38,'Format':'numberic','Value':'65070017350','TargetCode':''}</v>
      </c>
    </row>
    <row r="228" spans="1:1" x14ac:dyDescent="0.2">
      <c r="A228" t="str">
        <f>CONCATENATE("{'SheetId':'de4a50af-e3c0-40f9-b3b8-74329937463f'",",","'UId':'46b3ef3f-2ad6-48d7-a9b9-345b0ce7f88a'",",'Col':",COLUMN(BCKetQuaHoatDong_06135!F38),",'Row':",ROW(BCKetQuaHoatDong_06135!F38),",","'Format':'numberic'",",'Value':'",SUBSTITUTE(BCKetQuaHoatDong_06135!F38,"'","\'"),"','TargetCode':''}")</f>
        <v>{'SheetId':'de4a50af-e3c0-40f9-b3b8-74329937463f','UId':'46b3ef3f-2ad6-48d7-a9b9-345b0ce7f88a','Col':6,'Row':38,'Format':'numberic','Value':'65070017350','TargetCode':''}</v>
      </c>
    </row>
    <row r="229" spans="1:1" x14ac:dyDescent="0.2">
      <c r="A229" t="str">
        <f>CONCATENATE("{'SheetId':'de4a50af-e3c0-40f9-b3b8-74329937463f'",",","'UId':'68d0afc2-df93-4fa0-88c0-bbfac194ec10'",",'Col':",COLUMN(BCKetQuaHoatDong_06135!D39),",'Row':",ROW(BCKetQuaHoatDong_06135!D39),",","'Format':'numberic'",",'Value':'",SUBSTITUTE(BCKetQuaHoatDong_06135!D39,"'","\'"),"','TargetCode':''}")</f>
        <v>{'SheetId':'de4a50af-e3c0-40f9-b3b8-74329937463f','UId':'68d0afc2-df93-4fa0-88c0-bbfac194ec10','Col':4,'Row':39,'Format':'numberic','Value':'-232070720','TargetCode':''}</v>
      </c>
    </row>
    <row r="230" spans="1:1" x14ac:dyDescent="0.2">
      <c r="A230" t="str">
        <f>CONCATENATE("{'SheetId':'de4a50af-e3c0-40f9-b3b8-74329937463f'",",","'UId':'403633e8-b11a-46ee-b58b-b1b511075ae2'",",'Col':",COLUMN(BCKetQuaHoatDong_06135!E39),",'Row':",ROW(BCKetQuaHoatDong_06135!E39),",","'Format':'numberic'",",'Value':'",SUBSTITUTE(BCKetQuaHoatDong_06135!E39,"'","\'"),"','TargetCode':''}")</f>
        <v>{'SheetId':'de4a50af-e3c0-40f9-b3b8-74329937463f','UId':'403633e8-b11a-46ee-b58b-b1b511075ae2','Col':5,'Row':39,'Format':'numberic','Value':'3675682904','TargetCode':''}</v>
      </c>
    </row>
    <row r="231" spans="1:1" x14ac:dyDescent="0.2">
      <c r="A231" t="str">
        <f>CONCATENATE("{'SheetId':'de4a50af-e3c0-40f9-b3b8-74329937463f'",",","'UId':'c16b0081-44bb-4a81-a36c-0d2f4f2f74a1'",",'Col':",COLUMN(BCKetQuaHoatDong_06135!F39),",'Row':",ROW(BCKetQuaHoatDong_06135!F39),",","'Format':'numberic'",",'Value':'",SUBSTITUTE(BCKetQuaHoatDong_06135!F39,"'","\'"),"','TargetCode':''}")</f>
        <v>{'SheetId':'de4a50af-e3c0-40f9-b3b8-74329937463f','UId':'c16b0081-44bb-4a81-a36c-0d2f4f2f74a1','Col':6,'Row':39,'Format':'numberic','Value':'3443612184','TargetCode':''}</v>
      </c>
    </row>
    <row r="232" spans="1:1" x14ac:dyDescent="0.2">
      <c r="A232" t="str">
        <f>CONCATENATE("{'SheetId':'de4a50af-e3c0-40f9-b3b8-74329937463f'",",","'UId':'79e0f7c7-9ea7-4f94-a3a5-245ba286ce14'",",'Col':",COLUMN(BCKetQuaHoatDong_06135!D40),",'Row':",ROW(BCKetQuaHoatDong_06135!D40),",","'Format':'numberic'",",'Value':'",SUBSTITUTE(BCKetQuaHoatDong_06135!D40,"'","\'"),"','TargetCode':''}")</f>
        <v>{'SheetId':'de4a50af-e3c0-40f9-b3b8-74329937463f','UId':'79e0f7c7-9ea7-4f94-a3a5-245ba286ce14','Col':4,'Row':40,'Format':'numberic','Value':'-232070720','TargetCode':''}</v>
      </c>
    </row>
    <row r="233" spans="1:1" x14ac:dyDescent="0.2">
      <c r="A233" t="str">
        <f>CONCATENATE("{'SheetId':'de4a50af-e3c0-40f9-b3b8-74329937463f'",",","'UId':'731a3c8e-1f62-4e87-af23-197084dfdece'",",'Col':",COLUMN(BCKetQuaHoatDong_06135!E40),",'Row':",ROW(BCKetQuaHoatDong_06135!E40),",","'Format':'numberic'",",'Value':'",SUBSTITUTE(BCKetQuaHoatDong_06135!E40,"'","\'"),"','TargetCode':''}")</f>
        <v>{'SheetId':'de4a50af-e3c0-40f9-b3b8-74329937463f','UId':'731a3c8e-1f62-4e87-af23-197084dfdece','Col':5,'Row':40,'Format':'numberic','Value':'3675682904','TargetCode':''}</v>
      </c>
    </row>
    <row r="234" spans="1:1" x14ac:dyDescent="0.2">
      <c r="A234" t="str">
        <f>CONCATENATE("{'SheetId':'de4a50af-e3c0-40f9-b3b8-74329937463f'",",","'UId':'688307b6-8252-44bf-8e64-72fea52f5efa'",",'Col':",COLUMN(BCKetQuaHoatDong_06135!F40),",'Row':",ROW(BCKetQuaHoatDong_06135!F40),",","'Format':'numberic'",",'Value':'",SUBSTITUTE(BCKetQuaHoatDong_06135!F40,"'","\'"),"','TargetCode':''}")</f>
        <v>{'SheetId':'de4a50af-e3c0-40f9-b3b8-74329937463f','UId':'688307b6-8252-44bf-8e64-72fea52f5efa','Col':6,'Row':40,'Format':'numberic','Value':'3443612184','TargetCode':''}</v>
      </c>
    </row>
    <row r="235" spans="1:1" x14ac:dyDescent="0.2">
      <c r="A235" t="str">
        <f>CONCATENATE("{'SheetId':'de4a50af-e3c0-40f9-b3b8-74329937463f'",",","'UId':'2b0acfe0-9d18-4d46-812b-4df5fbdb39d3'",",'Col':",COLUMN(BCKetQuaHoatDong_06135!D41),",'Row':",ROW(BCKetQuaHoatDong_06135!D41),",","'Format':'numberic'",",'Value':'",SUBSTITUTE(BCKetQuaHoatDong_06135!D41,"'","\'"),"','TargetCode':''}")</f>
        <v>{'SheetId':'de4a50af-e3c0-40f9-b3b8-74329937463f','UId':'2b0acfe0-9d18-4d46-812b-4df5fbdb39d3','Col':4,'Row':41,'Format':'numberic','Value':'','TargetCode':''}</v>
      </c>
    </row>
    <row r="236" spans="1:1" x14ac:dyDescent="0.2">
      <c r="A236" t="str">
        <f>CONCATENATE("{'SheetId':'de4a50af-e3c0-40f9-b3b8-74329937463f'",",","'UId':'44c00ce3-1afe-4dcc-8875-a60190b98250'",",'Col':",COLUMN(BCKetQuaHoatDong_06135!E41),",'Row':",ROW(BCKetQuaHoatDong_06135!E41),",","'Format':'numberic'",",'Value':'",SUBSTITUTE(BCKetQuaHoatDong_06135!E41,"'","\'"),"','TargetCode':''}")</f>
        <v>{'SheetId':'de4a50af-e3c0-40f9-b3b8-74329937463f','UId':'44c00ce3-1afe-4dcc-8875-a60190b98250','Col':5,'Row':41,'Format':'numberic','Value':'','TargetCode':''}</v>
      </c>
    </row>
    <row r="237" spans="1:1" x14ac:dyDescent="0.2">
      <c r="A237" t="str">
        <f>CONCATENATE("{'SheetId':'de4a50af-e3c0-40f9-b3b8-74329937463f'",",","'UId':'e29dddb4-2d17-4100-9b5d-7b9bb1cfbb74'",",'Col':",COLUMN(BCKetQuaHoatDong_06135!F41),",'Row':",ROW(BCKetQuaHoatDong_06135!F41),",","'Format':'numberic'",",'Value':'",SUBSTITUTE(BCKetQuaHoatDong_06135!F41,"'","\'"),"','TargetCode':''}")</f>
        <v>{'SheetId':'de4a50af-e3c0-40f9-b3b8-74329937463f','UId':'e29dddb4-2d17-4100-9b5d-7b9bb1cfbb74','Col':6,'Row':41,'Format':'numberic','Value':'','TargetCode':''}</v>
      </c>
    </row>
    <row r="238" spans="1:1" x14ac:dyDescent="0.2">
      <c r="A238" t="str">
        <f>CONCATENATE("{'SheetId':'de4a50af-e3c0-40f9-b3b8-74329937463f'",",","'UId':'b6c7d7a8-61a2-493e-8e51-113d33d02dc6'",",'Col':",COLUMN(BCKetQuaHoatDong_06135!A43),",'Row':",ROW(BCKetQuaHoatDong_06135!A43),",","'ColDynamic':",COLUMN(BCKetQuaHoatDong_06135!A27),",","'RowDynamic':",ROW(BCKetQuaHoatDong_06135!A27),",","'Format':'numberic'",",'Value':'",SUBSTITUTE(BCKetQuaHoatDong_06135!A43,"'","\'"),"','TargetCode':''}")</f>
        <v>{'SheetId':'de4a50af-e3c0-40f9-b3b8-74329937463f','UId':'b6c7d7a8-61a2-493e-8e51-113d33d02dc6','Col':1,'Row':43,'ColDynamic':1,'RowDynamic':27,'Format':'numberic','Value':' ','TargetCode':''}</v>
      </c>
    </row>
    <row r="239" spans="1:1" x14ac:dyDescent="0.2">
      <c r="A239" t="str">
        <f>CONCATENATE("{'SheetId':'de4a50af-e3c0-40f9-b3b8-74329937463f'",",","'UId':'8b10ff75-b0ae-4564-a672-99aa4100e881'",",'Col':",COLUMN(BCKetQuaHoatDong_06135!B43),",'Row':",ROW(BCKetQuaHoatDong_06135!B43),",","'ColDynamic':",COLUMN(BCKetQuaHoatDong_06135!B27),",","'RowDynamic':",ROW(BCKetQuaHoatDong_06135!B27),",","'Format':'string'",",'Value':'",SUBSTITUTE(BCKetQuaHoatDong_06135!B43,"'","\'"),"','TargetCode':''}")</f>
        <v>{'SheetId':'de4a50af-e3c0-40f9-b3b8-74329937463f','UId':'8b10ff75-b0ae-4564-a672-99aa4100e881','Col':2,'Row':43,'ColDynamic':2,'RowDynamic':27,'Format':'string','Value':'','TargetCode':''}</v>
      </c>
    </row>
    <row r="240" spans="1:1" x14ac:dyDescent="0.2">
      <c r="A240" t="str">
        <f>CONCATENATE("{'SheetId':'de4a50af-e3c0-40f9-b3b8-74329937463f'",",","'UId':'a67706a0-da54-423e-86de-536730e3798a'",",'Col':",COLUMN(BCKetQuaHoatDong_06135!C43),",'Row':",ROW(BCKetQuaHoatDong_06135!C43),",","'ColDynamic':",COLUMN(BCKetQuaHoatDong_06135!C27),",","'RowDynamic':",ROW(BCKetQuaHoatDong_06135!C27),",","'Format':'numberic'",",'Value':'",SUBSTITUTE(BCKetQuaHoatDong_06135!C43,"'","\'"),"','TargetCode':''}")</f>
        <v>{'SheetId':'de4a50af-e3c0-40f9-b3b8-74329937463f','UId':'a67706a0-da54-423e-86de-536730e3798a','Col':3,'Row':43,'ColDynamic':3,'RowDynamic':27,'Format':'numberic','Value':'','TargetCode':''}</v>
      </c>
    </row>
    <row r="241" spans="1:1" x14ac:dyDescent="0.2">
      <c r="A241" t="str">
        <f>CONCATENATE("{'SheetId':'de4a50af-e3c0-40f9-b3b8-74329937463f'",",","'UId':'06fad915-8ceb-49a7-9a7b-136f99bd0ed2'",",'Col':",COLUMN(BCKetQuaHoatDong_06135!D43),",'Row':",ROW(BCKetQuaHoatDong_06135!D43),",","'ColDynamic':",COLUMN(BCKetQuaHoatDong_06135!D27),",","'RowDynamic':",ROW(BCKetQuaHoatDong_06135!D27),",","'Format':'numberic'",",'Value':'",SUBSTITUTE(BCKetQuaHoatDong_06135!D43,"'","\'"),"','TargetCode':''}")</f>
        <v>{'SheetId':'de4a50af-e3c0-40f9-b3b8-74329937463f','UId':'06fad915-8ceb-49a7-9a7b-136f99bd0ed2','Col':4,'Row':43,'ColDynamic':4,'RowDynamic':27,'Format':'numberic','Value':'','TargetCode':''}</v>
      </c>
    </row>
    <row r="242" spans="1:1" x14ac:dyDescent="0.2">
      <c r="A242" t="str">
        <f>CONCATENATE("{'SheetId':'de4a50af-e3c0-40f9-b3b8-74329937463f'",",","'UId':'dc5f5ace-cdc0-4932-83df-4aebf349c095'",",'Col':",COLUMN(BCKetQuaHoatDong_06135!E43),",'Row':",ROW(BCKetQuaHoatDong_06135!E43),",","'ColDynamic':",COLUMN(BCKetQuaHoatDong_06135!E27),",","'RowDynamic':",ROW(BCKetQuaHoatDong_06135!E27),",","'Format':'numberic'",",'Value':'",SUBSTITUTE(BCKetQuaHoatDong_06135!E43,"'","\'"),"','TargetCode':''}")</f>
        <v>{'SheetId':'de4a50af-e3c0-40f9-b3b8-74329937463f','UId':'dc5f5ace-cdc0-4932-83df-4aebf349c095','Col':5,'Row':43,'ColDynamic':5,'RowDynamic':27,'Format':'numberic','Value':'','TargetCode':''}</v>
      </c>
    </row>
    <row r="243" spans="1:1" x14ac:dyDescent="0.2">
      <c r="A243" t="str">
        <f>CONCATENATE("{'SheetId':'de4a50af-e3c0-40f9-b3b8-74329937463f'",",","'UId':'343a9c23-6835-43f6-93c1-259d475417c2'",",'Col':",COLUMN(BCKetQuaHoatDong_06135!F43),",'Row':",ROW(BCKetQuaHoatDong_06135!F43),",","'ColDynamic':",COLUMN(BCKetQuaHoatDong_06135!F27),",","'RowDynamic':",ROW(BCKetQuaHoatDong_06135!F27),",","'Format':'numberic'",",'Value':'",SUBSTITUTE(BCKetQuaHoatDong_06135!F43,"'","\'"),"','TargetCode':''}")</f>
        <v>{'SheetId':'de4a50af-e3c0-40f9-b3b8-74329937463f','UId':'343a9c23-6835-43f6-93c1-259d475417c2','Col':6,'Row':43,'ColDynamic':6,'RowDynamic':27,'Format':'numberic','Value':'','TargetCode':''}</v>
      </c>
    </row>
    <row r="244" spans="1:1" x14ac:dyDescent="0.2">
      <c r="A244" t="str">
        <f>CONCATENATE("{'SheetId':'de4a50af-e3c0-40f9-b3b8-74329937463f'",",","'UId':'23913f78-8e52-4bb8-ae83-5efc4fadfc60'",",'Col':",COLUMN(BCKetQuaHoatDong_06135!D44),",'Row':",ROW(BCKetQuaHoatDong_06135!D44),",","'Format':'numberic'",",'Value':'",SUBSTITUTE(BCKetQuaHoatDong_06135!D44,"'","\'"),"','TargetCode':''}")</f>
        <v>{'SheetId':'de4a50af-e3c0-40f9-b3b8-74329937463f','UId':'23913f78-8e52-4bb8-ae83-5efc4fadfc60','Col':4,'Row':44,'Format':'numberic','Value':'','TargetCode':''}</v>
      </c>
    </row>
    <row r="245" spans="1:1" x14ac:dyDescent="0.2">
      <c r="A245" t="str">
        <f>CONCATENATE("{'SheetId':'de4a50af-e3c0-40f9-b3b8-74329937463f'",",","'UId':'34ed7785-eda0-4a3f-b4bc-457d3c6f2a32'",",'Col':",COLUMN(BCKetQuaHoatDong_06135!E44),",'Row':",ROW(BCKetQuaHoatDong_06135!E44),",","'Format':'numberic'",",'Value':'",SUBSTITUTE(BCKetQuaHoatDong_06135!E44,"'","\'"),"','TargetCode':''}")</f>
        <v>{'SheetId':'de4a50af-e3c0-40f9-b3b8-74329937463f','UId':'34ed7785-eda0-4a3f-b4bc-457d3c6f2a32','Col':5,'Row':44,'Format':'numberic','Value':'','TargetCode':''}</v>
      </c>
    </row>
    <row r="246" spans="1:1" x14ac:dyDescent="0.2">
      <c r="A246" t="str">
        <f>CONCATENATE("{'SheetId':'de4a50af-e3c0-40f9-b3b8-74329937463f'",",","'UId':'c68f3d30-a59d-4ee1-9f42-2ae4b20af2af'",",'Col':",COLUMN(BCKetQuaHoatDong_06135!F44),",'Row':",ROW(BCKetQuaHoatDong_06135!F44),",","'Format':'numberic'",",'Value':'",SUBSTITUTE(BCKetQuaHoatDong_06135!F44,"'","\'"),"','TargetCode':''}")</f>
        <v>{'SheetId':'de4a50af-e3c0-40f9-b3b8-74329937463f','UId':'c68f3d30-a59d-4ee1-9f42-2ae4b20af2af','Col':6,'Row':44,'Format':'numberic','Value':'','TargetCode':''}</v>
      </c>
    </row>
    <row r="247" spans="1:1" x14ac:dyDescent="0.2">
      <c r="A247" t="str">
        <f>CONCATENATE("{'SheetId':'de4a50af-e3c0-40f9-b3b8-74329937463f'",",","'UId':'1a55205b-d5b6-47ab-ab70-41890fc050dd'",",'Col':",COLUMN(BCKetQuaHoatDong_06135!D45),",'Row':",ROW(BCKetQuaHoatDong_06135!D45),",","'Format':'numberic'",",'Value':'",SUBSTITUTE(BCKetQuaHoatDong_06135!D45,"'","\'"),"','TargetCode':''}")</f>
        <v>{'SheetId':'de4a50af-e3c0-40f9-b3b8-74329937463f','UId':'1a55205b-d5b6-47ab-ab70-41890fc050dd','Col':4,'Row':45,'Format':'numberic','Value':'68513629534','TargetCode':''}</v>
      </c>
    </row>
    <row r="248" spans="1:1" x14ac:dyDescent="0.2">
      <c r="A248" t="str">
        <f>CONCATENATE("{'SheetId':'de4a50af-e3c0-40f9-b3b8-74329937463f'",",","'UId':'bed85f57-a62c-44bb-a823-617ef566b6ed'",",'Col':",COLUMN(BCKetQuaHoatDong_06135!E45),",'Row':",ROW(BCKetQuaHoatDong_06135!E45),",","'Format':'numberic'",",'Value':'",SUBSTITUTE(BCKetQuaHoatDong_06135!E45,"'","\'"),"','TargetCode':''}")</f>
        <v>{'SheetId':'de4a50af-e3c0-40f9-b3b8-74329937463f','UId':'bed85f57-a62c-44bb-a823-617ef566b6ed','Col':5,'Row':45,'Format':'numberic','Value':'68745700254','TargetCode':''}</v>
      </c>
    </row>
    <row r="249" spans="1:1" x14ac:dyDescent="0.2">
      <c r="A249" t="str">
        <f>CONCATENATE("{'SheetId':'de4a50af-e3c0-40f9-b3b8-74329937463f'",",","'UId':'39b5d39a-7ad2-49f8-871e-ccd7823002df'",",'Col':",COLUMN(BCKetQuaHoatDong_06135!F45),",'Row':",ROW(BCKetQuaHoatDong_06135!F45),",","'Format':'numberic'",",'Value':'",SUBSTITUTE(BCKetQuaHoatDong_06135!F45,"'","\'"),"','TargetCode':''}")</f>
        <v>{'SheetId':'de4a50af-e3c0-40f9-b3b8-74329937463f','UId':'39b5d39a-7ad2-49f8-871e-ccd7823002df','Col':6,'Row':45,'Format':'numberic','Value':'68513629534','TargetCode':''}</v>
      </c>
    </row>
    <row r="250" spans="1:1" x14ac:dyDescent="0.2">
      <c r="A250" t="str">
        <f>CONCATENATE("{'SheetId':'de4a50af-e3c0-40f9-b3b8-74329937463f'",",","'UId':'50fa5566-734f-4eae-b9fa-32dcd25a0522'",",'Col':",COLUMN(BCKetQuaHoatDong_06135!D46),",'Row':",ROW(BCKetQuaHoatDong_06135!D46),",","'Format':'numberic'",",'Value':'",SUBSTITUTE(BCKetQuaHoatDong_06135!D46,"'","\'"),"','TargetCode':''}")</f>
        <v>{'SheetId':'de4a50af-e3c0-40f9-b3b8-74329937463f','UId':'50fa5566-734f-4eae-b9fa-32dcd25a0522','Col':4,'Row':46,'Format':'numberic','Value':'','TargetCode':''}</v>
      </c>
    </row>
    <row r="251" spans="1:1" x14ac:dyDescent="0.2">
      <c r="A251" t="str">
        <f>CONCATENATE("{'SheetId':'de4a50af-e3c0-40f9-b3b8-74329937463f'",",","'UId':'76724c21-5cd8-439b-bd43-f2f6df163d79'",",'Col':",COLUMN(BCKetQuaHoatDong_06135!E46),",'Row':",ROW(BCKetQuaHoatDong_06135!E46),",","'Format':'numberic'",",'Value':'",SUBSTITUTE(BCKetQuaHoatDong_06135!E46,"'","\'"),"','TargetCode':''}")</f>
        <v>{'SheetId':'de4a50af-e3c0-40f9-b3b8-74329937463f','UId':'76724c21-5cd8-439b-bd43-f2f6df163d79','Col':5,'Row':46,'Format':'numberic','Value':'','TargetCode':''}</v>
      </c>
    </row>
    <row r="252" spans="1:1" x14ac:dyDescent="0.2">
      <c r="A252" t="str">
        <f>CONCATENATE("{'SheetId':'de4a50af-e3c0-40f9-b3b8-74329937463f'",",","'UId':'1c9f404b-0a93-4db1-8094-f8c0d6f5603b'",",'Col':",COLUMN(BCKetQuaHoatDong_06135!F46),",'Row':",ROW(BCKetQuaHoatDong_06135!F46),",","'Format':'numberic'",",'Value':'",SUBSTITUTE(BCKetQuaHoatDong_06135!F46,"'","\'"),"','TargetCode':''}")</f>
        <v>{'SheetId':'de4a50af-e3c0-40f9-b3b8-74329937463f','UId':'1c9f404b-0a93-4db1-8094-f8c0d6f5603b','Col':6,'Row':46,'Format':'numberic','Value':'','TargetCode':''}</v>
      </c>
    </row>
    <row r="253" spans="1:1" x14ac:dyDescent="0.2">
      <c r="A253" t="str">
        <f>CONCATENATE("{'SheetId':'de4a50af-e3c0-40f9-b3b8-74329937463f'",",","'UId':'b6becfd0-ffe1-45ce-9e2c-c27e53fe2c4c'",",'Col':",COLUMN(BCKetQuaHoatDong_06135!D47),",'Row':",ROW(BCKetQuaHoatDong_06135!D47),",","'Format':'numberic'",",'Value':'",SUBSTITUTE(BCKetQuaHoatDong_06135!D47,"'","\'"),"','TargetCode':''}")</f>
        <v>{'SheetId':'de4a50af-e3c0-40f9-b3b8-74329937463f','UId':'b6becfd0-ffe1-45ce-9e2c-c27e53fe2c4c','Col':4,'Row':47,'Format':'numberic','Value':'','TargetCode':''}</v>
      </c>
    </row>
    <row r="254" spans="1:1" x14ac:dyDescent="0.2">
      <c r="A254" t="str">
        <f>CONCATENATE("{'SheetId':'de4a50af-e3c0-40f9-b3b8-74329937463f'",",","'UId':'8dd40305-9b93-4d16-adfc-f6a169d92580'",",'Col':",COLUMN(BCKetQuaHoatDong_06135!E47),",'Row':",ROW(BCKetQuaHoatDong_06135!E47),",","'Format':'numberic'",",'Value':'",SUBSTITUTE(BCKetQuaHoatDong_06135!E47,"'","\'"),"','TargetCode':''}")</f>
        <v>{'SheetId':'de4a50af-e3c0-40f9-b3b8-74329937463f','UId':'8dd40305-9b93-4d16-adfc-f6a169d92580','Col':5,'Row':47,'Format':'numberic','Value':'','TargetCode':''}</v>
      </c>
    </row>
    <row r="255" spans="1:1" x14ac:dyDescent="0.2">
      <c r="A255" t="str">
        <f>CONCATENATE("{'SheetId':'de4a50af-e3c0-40f9-b3b8-74329937463f'",",","'UId':'c8c0ffad-e4b6-4331-a7f0-d5688256e812'",",'Col':",COLUMN(BCKetQuaHoatDong_06135!F47),",'Row':",ROW(BCKetQuaHoatDong_06135!F47),",","'Format':'numberic'",",'Value':'",SUBSTITUTE(BCKetQuaHoatDong_06135!F47,"'","\'"),"','TargetCode':''}")</f>
        <v>{'SheetId':'de4a50af-e3c0-40f9-b3b8-74329937463f','UId':'c8c0ffad-e4b6-4331-a7f0-d5688256e812','Col':6,'Row':47,'Format':'numberic','Value':'','TargetCode':''}</v>
      </c>
    </row>
    <row r="256" spans="1:1" x14ac:dyDescent="0.2">
      <c r="A256" t="str">
        <f>CONCATENATE("{'SheetId':'574af409-ffc2-40ee-a576-3816731bac61'",",","'UId':'81655065-a95c-4774-9878-e533dce47ede'",",'Col':",COLUMN(BCDanhMucDauTu_06136!A4),",'Row':",ROW(BCDanhMucDauTu_06136!A4),",","'ColDynamic':",COLUMN(BCDanhMucDauTu_06136!A3),",","'RowDynamic':",ROW(BCDanhMucDauTu_06136!A3),",","'Format':'string'",",'Value':'",SUBSTITUTE(BCDanhMucDauTu_06136!A4,"'","\'"),"','TargetCode':''}")</f>
        <v>{'SheetId':'574af409-ffc2-40ee-a576-3816731bac61','UId':'81655065-a95c-4774-9878-e533dce47ede','Col':1,'Row':4,'ColDynamic':1,'RowDynamic':3,'Format':'string','Value':'II','TargetCode':''}</v>
      </c>
    </row>
    <row r="257" spans="1:1" x14ac:dyDescent="0.2">
      <c r="A257" t="str">
        <f>CONCATENATE("{'SheetId':'574af409-ffc2-40ee-a576-3816731bac61'",",","'UId':'293e3666-9af6-4b40-a440-4ca29e036c41'",",'Col':",COLUMN(BCDanhMucDauTu_06136!B4),",'Row':",ROW(BCDanhMucDauTu_06136!B4),",","'ColDynamic':",COLUMN(BCDanhMucDauTu_06136!B3),",","'RowDynamic':",ROW(BCDanhMucDauTu_06136!B3),",","'Format':'string'",",'Value':'",SUBSTITUTE(BCDanhMucDauTu_06136!B4,"'","\'"),"','TargetCode':''}")</f>
        <v>{'SheetId':'574af409-ffc2-40ee-a576-3816731bac61','UId':'293e3666-9af6-4b40-a440-4ca29e036c41','Col':2,'Row':4,'ColDynamic':2,'RowDynamic':3,'Format':'string','Value':'Cổ phiếu niêm yết, đăng ký giao dịch, chứng chỉ quỹ niêm yết','TargetCode':''}</v>
      </c>
    </row>
    <row r="258" spans="1:1" x14ac:dyDescent="0.2">
      <c r="A258" t="str">
        <f>CONCATENATE("{'SheetId':'574af409-ffc2-40ee-a576-3816731bac61'",",","'UId':'0639e23b-1d8e-4f85-ba1e-512aec2aa21f'",",'Col':",COLUMN(BCDanhMucDauTu_06136!C4),",'Row':",ROW(BCDanhMucDauTu_06136!C4),",","'ColDynamic':",COLUMN(BCDanhMucDauTu_06136!C3),",","'RowDynamic':",ROW(BCDanhMucDauTu_06136!C3),",","'Format':'string'",",'Value':'",SUBSTITUTE(BCDanhMucDauTu_06136!C4,"'","\'"),"','TargetCode':''}")</f>
        <v>{'SheetId':'574af409-ffc2-40ee-a576-3816731bac61','UId':'0639e23b-1d8e-4f85-ba1e-512aec2aa21f','Col':3,'Row':4,'ColDynamic':3,'RowDynamic':3,'Format':'string','Value':'2246','TargetCode':''}</v>
      </c>
    </row>
    <row r="259" spans="1:1" x14ac:dyDescent="0.2">
      <c r="A259" t="str">
        <f>CONCATENATE("{'SheetId':'574af409-ffc2-40ee-a576-3816731bac61'",",","'UId':'06276af7-68d4-4a48-9ab1-321768729076'",",'Col':",COLUMN(BCDanhMucDauTu_06136!D4),",'Row':",ROW(BCDanhMucDauTu_06136!D4),",","'ColDynamic':",COLUMN(BCDanhMucDauTu_06136!D3),",","'RowDynamic':",ROW(BCDanhMucDauTu_06136!D3),",","'Format':'numberic'",",'Value':'",SUBSTITUTE(BCDanhMucDauTu_06136!D4,"'","\'"),"','TargetCode':''}")</f>
        <v>{'SheetId':'574af409-ffc2-40ee-a576-3816731bac61','UId':'06276af7-68d4-4a48-9ab1-321768729076','Col':4,'Row':4,'ColDynamic':4,'RowDynamic':3,'Format':'numberic','Value':' ','TargetCode':''}</v>
      </c>
    </row>
    <row r="260" spans="1:1" x14ac:dyDescent="0.2">
      <c r="A260" t="str">
        <f>CONCATENATE("{'SheetId':'574af409-ffc2-40ee-a576-3816731bac61'",",","'UId':'a5045a8e-778d-4da4-8ee3-9d6fa285d6f5'",",'Col':",COLUMN(BCDanhMucDauTu_06136!E4),",'Row':",ROW(BCDanhMucDauTu_06136!E4),",","'ColDynamic':",COLUMN(BCDanhMucDauTu_06136!E3),",","'RowDynamic':",ROW(BCDanhMucDauTu_06136!E3),",","'Format':'numberic'",",'Value':'",SUBSTITUTE(BCDanhMucDauTu_06136!E4,"'","\'"),"','TargetCode':''}")</f>
        <v>{'SheetId':'574af409-ffc2-40ee-a576-3816731bac61','UId':'a5045a8e-778d-4da4-8ee3-9d6fa285d6f5','Col':5,'Row':4,'ColDynamic':5,'RowDynamic':3,'Format':'numberic','Value':' ','TargetCode':''}</v>
      </c>
    </row>
    <row r="261" spans="1:1" x14ac:dyDescent="0.2">
      <c r="A261" t="str">
        <f>CONCATENATE("{'SheetId':'574af409-ffc2-40ee-a576-3816731bac61'",",","'UId':'dc25255c-b1c9-4577-8ee9-17bcce356ef2'",",'Col':",COLUMN(BCDanhMucDauTu_06136!F4),",'Row':",ROW(BCDanhMucDauTu_06136!F4),",","'ColDynamic':",COLUMN(BCDanhMucDauTu_06136!F3),",","'RowDynamic':",ROW(BCDanhMucDauTu_06136!F3),",","'Format':'numberic'",",'Value':'",SUBSTITUTE(BCDanhMucDauTu_06136!F4,"'","\'"),"','TargetCode':''}")</f>
        <v>{'SheetId':'574af409-ffc2-40ee-a576-3816731bac61','UId':'dc25255c-b1c9-4577-8ee9-17bcce356ef2','Col':6,'Row':4,'ColDynamic':6,'RowDynamic':3,'Format':'numberic','Value':' ','TargetCode':''}</v>
      </c>
    </row>
    <row r="262" spans="1:1" x14ac:dyDescent="0.2">
      <c r="A262" t="str">
        <f>CONCATENATE("{'SheetId':'574af409-ffc2-40ee-a576-3816731bac61'",",","'UId':'919187fb-83ab-4d50-b500-e0cd5508a752'",",'Col':",COLUMN(BCDanhMucDauTu_06136!G4),",'Row':",ROW(BCDanhMucDauTu_06136!G4),",","'ColDynamic':",COLUMN(BCDanhMucDauTu_06136!G3),",","'RowDynamic':",ROW(BCDanhMucDauTu_06136!G3),",","'Format':'numberic'",",'Value':'",SUBSTITUTE(BCDanhMucDauTu_06136!G4,"'","\'"),"','TargetCode':''}")</f>
        <v>{'SheetId':'574af409-ffc2-40ee-a576-3816731bac61','UId':'919187fb-83ab-4d50-b500-e0cd5508a752','Col':7,'Row':4,'ColDynamic':7,'RowDynamic':3,'Format':'numberic','Value':' ','TargetCode':''}</v>
      </c>
    </row>
    <row r="263" spans="1:1" x14ac:dyDescent="0.2">
      <c r="A263" t="str">
        <f>CONCATENATE("{'SheetId':'574af409-ffc2-40ee-a576-3816731bac61'",",","'UId':'38e0d83d-86a1-4aea-aee2-d4dcdc610d05'",",'Col':",COLUMN(BCDanhMucDauTu_06136!A24),",'Row':",ROW(BCDanhMucDauTu_06136!A24),",","'ColDynamic':",COLUMN(BCDanhMucDauTu_06136!A5),",","'RowDynamic':",ROW(BCDanhMucDauTu_06136!A5),",","'Format':'string'",",'Value':'",SUBSTITUTE(BCDanhMucDauTu_06136!A24,"'","\'"),"','TargetCode':''}")</f>
        <v>{'SheetId':'574af409-ffc2-40ee-a576-3816731bac61','UId':'38e0d83d-86a1-4aea-aee2-d4dcdc610d05','Col':1,'Row':24,'ColDynamic':1,'RowDynamic':5,'Format':'string','Value':'','TargetCode':''}</v>
      </c>
    </row>
    <row r="264" spans="1:1" x14ac:dyDescent="0.2">
      <c r="A264" t="str">
        <f>CONCATENATE("{'SheetId':'574af409-ffc2-40ee-a576-3816731bac61'",",","'UId':'7e088f1d-dfc3-4c3d-8a1d-4f5d14bbfb83'",",'Col':",COLUMN(BCDanhMucDauTu_06136!B24),",'Row':",ROW(BCDanhMucDauTu_06136!B24),",","'ColDynamic':",COLUMN(BCDanhMucDauTu_06136!B3),",","'RowDynamic':",ROW(BCDanhMucDauTu_06136!B3),",","'Format':'string'",",'Value':'",SUBSTITUTE(BCDanhMucDauTu_06136!B24,"'","\'"),"','TargetCode':''}")</f>
        <v>{'SheetId':'574af409-ffc2-40ee-a576-3816731bac61','UId':'7e088f1d-dfc3-4c3d-8a1d-4f5d14bbfb83','Col':2,'Row':24,'ColDynamic':2,'RowDynamic':3,'Format':'string','Value':'Tổng','TargetCode':''}</v>
      </c>
    </row>
    <row r="265" spans="1:1" x14ac:dyDescent="0.2">
      <c r="A265" t="str">
        <f>CONCATENATE("{'SheetId':'574af409-ffc2-40ee-a576-3816731bac61'",",","'UId':'abc6aabd-bed7-4106-86d3-8947485625f4'",",'Col':",COLUMN(BCDanhMucDauTu_06136!C24),",'Row':",ROW(BCDanhMucDauTu_06136!C24),",","'ColDynamic':",COLUMN(BCDanhMucDauTu_06136!C5),",","'RowDynamic':",ROW(BCDanhMucDauTu_06136!C5),",","'Format':'string'",",'Value':'",SUBSTITUTE(BCDanhMucDauTu_06136!C24,"'","\'"),"','TargetCode':''}")</f>
        <v>{'SheetId':'574af409-ffc2-40ee-a576-3816731bac61','UId':'abc6aabd-bed7-4106-86d3-8947485625f4','Col':3,'Row':24,'ColDynamic':3,'RowDynamic':5,'Format':'string','Value':'2247','TargetCode':''}</v>
      </c>
    </row>
    <row r="266" spans="1:1" x14ac:dyDescent="0.2">
      <c r="A266" t="str">
        <f>CONCATENATE("{'SheetId':'574af409-ffc2-40ee-a576-3816731bac61'",",","'UId':'afc0cfd1-1fc4-407e-a3b9-3ce0387bec8f'",",'Col':",COLUMN(BCDanhMucDauTu_06136!D24),",'Row':",ROW(BCDanhMucDauTu_06136!D24),",","'ColDynamic':",COLUMN(BCDanhMucDauTu_06136!C3),",","'RowDynamic':",ROW(BCDanhMucDauTu_06136!C3),",","'Format':'numberic'",",'Value':'",SUBSTITUTE(BCDanhMucDauTu_06136!D24,"'","\'"),"','TargetCode':''}")</f>
        <v>{'SheetId':'574af409-ffc2-40ee-a576-3816731bac61','UId':'afc0cfd1-1fc4-407e-a3b9-3ce0387bec8f','Col':4,'Row':24,'ColDynamic':3,'RowDynamic':3,'Format':'numberic','Value':'1539106','TargetCode':''}</v>
      </c>
    </row>
    <row r="267" spans="1:1" x14ac:dyDescent="0.2">
      <c r="A267" t="str">
        <f>CONCATENATE("{'SheetId':'574af409-ffc2-40ee-a576-3816731bac61'",",","'UId':'5c37b50d-0766-4693-a69e-8d084073c0ac'",",'Col':",COLUMN(BCDanhMucDauTu_06136!E24),",'Row':",ROW(BCDanhMucDauTu_06136!E24),",","'ColDynamic':",COLUMN(BCDanhMucDauTu_06136!D3),",","'RowDynamic':",ROW(BCDanhMucDauTu_06136!D3),",","'Format':'numberic'",",'Value':'",SUBSTITUTE(BCDanhMucDauTu_06136!E24,"'","\'"),"','TargetCode':''}")</f>
        <v>{'SheetId':'574af409-ffc2-40ee-a576-3816731bac61','UId':'5c37b50d-0766-4693-a69e-8d084073c0ac','Col':5,'Row':24,'ColDynamic':4,'RowDynamic':3,'Format':'numberic','Value':'','TargetCode':''}</v>
      </c>
    </row>
    <row r="268" spans="1:1" x14ac:dyDescent="0.2">
      <c r="A268" t="str">
        <f>CONCATENATE("{'SheetId':'574af409-ffc2-40ee-a576-3816731bac61'",",","'UId':'8e0b873f-0ead-41e4-b91e-706650e07b08'",",'Col':",COLUMN(BCDanhMucDauTu_06136!F24),",'Row':",ROW(BCDanhMucDauTu_06136!F24),",","'ColDynamic':",COLUMN(BCDanhMucDauTu_06136!E3),",","'RowDynamic':",ROW(BCDanhMucDauTu_06136!E3),",","'Format':'numberic'",",'Value':'",SUBSTITUTE(BCDanhMucDauTu_06136!F24,"'","\'"),"','TargetCode':''}")</f>
        <v>{'SheetId':'574af409-ffc2-40ee-a576-3816731bac61','UId':'8e0b873f-0ead-41e4-b91e-706650e07b08','Col':6,'Row':24,'ColDynamic':5,'RowDynamic':3,'Format':'numberic','Value':'68574628750','TargetCode':''}</v>
      </c>
    </row>
    <row r="269" spans="1:1" x14ac:dyDescent="0.2">
      <c r="A269" t="str">
        <f>CONCATENATE("{'SheetId':'574af409-ffc2-40ee-a576-3816731bac61'",",","'UId':'b4452dfa-b7bb-4763-8efd-8f3bf09286c2'",",'Col':",COLUMN(BCDanhMucDauTu_06136!G24),",'Row':",ROW(BCDanhMucDauTu_06136!G24),",","'ColDynamic':",COLUMN(BCDanhMucDauTu_06136!F3),",","'RowDynamic':",ROW(BCDanhMucDauTu_06136!F3),",","'Format':'numberic'",",'Value':'",SUBSTITUTE(BCDanhMucDauTu_06136!G24,"'","\'"),"','TargetCode':''}")</f>
        <v>{'SheetId':'574af409-ffc2-40ee-a576-3816731bac61','UId':'b4452dfa-b7bb-4763-8efd-8f3bf09286c2','Col':7,'Row':24,'ColDynamic':6,'RowDynamic':3,'Format':'numberic','Value':'0.9979','TargetCode':''}</v>
      </c>
    </row>
    <row r="270" spans="1:1" x14ac:dyDescent="0.2">
      <c r="A270" t="str">
        <f>CONCATENATE("{'SheetId':'574af409-ffc2-40ee-a576-3816731bac61'",",","'UId':'d6c86ecb-df8a-430d-9e14-0d5a12cc4389'",",'Col':",COLUMN(BCDanhMucDauTu_06136!D25),",'Row':",ROW(BCDanhMucDauTu_06136!D25),",","'Format':'numberic'",",'Value':'",SUBSTITUTE(BCDanhMucDauTu_06136!D25,"'","\'"),"','TargetCode':''}")</f>
        <v>{'SheetId':'574af409-ffc2-40ee-a576-3816731bac61','UId':'d6c86ecb-df8a-430d-9e14-0d5a12cc4389','Col':4,'Row':25,'Format':'numberic','Value':'0','TargetCode':''}</v>
      </c>
    </row>
    <row r="271" spans="1:1" x14ac:dyDescent="0.2">
      <c r="A271" t="str">
        <f>CONCATENATE("{'SheetId':'574af409-ffc2-40ee-a576-3816731bac61'",",","'UId':'6613c21a-25c8-4305-b128-6a0d13cb3c86'",",'Col':",COLUMN(BCDanhMucDauTu_06136!E25),",'Row':",ROW(BCDanhMucDauTu_06136!E25),",","'Format':'numberic'",",'Value':'",SUBSTITUTE(BCDanhMucDauTu_06136!E25,"'","\'"),"','TargetCode':''}")</f>
        <v>{'SheetId':'574af409-ffc2-40ee-a576-3816731bac61','UId':'6613c21a-25c8-4305-b128-6a0d13cb3c86','Col':5,'Row':25,'Format':'numberic','Value':'0','TargetCode':''}</v>
      </c>
    </row>
    <row r="272" spans="1:1" x14ac:dyDescent="0.2">
      <c r="A272" t="str">
        <f>CONCATENATE("{'SheetId':'574af409-ffc2-40ee-a576-3816731bac61'",",","'UId':'7fe12076-8fec-49cc-aaab-cd313817f304'",",'Col':",COLUMN(BCDanhMucDauTu_06136!F25),",'Row':",ROW(BCDanhMucDauTu_06136!F25),",","'Format':'numberic'",",'Value':'",SUBSTITUTE(BCDanhMucDauTu_06136!F25,"'","\'"),"','TargetCode':''}")</f>
        <v>{'SheetId':'574af409-ffc2-40ee-a576-3816731bac61','UId':'7fe12076-8fec-49cc-aaab-cd313817f304','Col':6,'Row':25,'Format':'numberic','Value':'0','TargetCode':''}</v>
      </c>
    </row>
    <row r="273" spans="1:1" x14ac:dyDescent="0.2">
      <c r="A273" t="str">
        <f>CONCATENATE("{'SheetId':'574af409-ffc2-40ee-a576-3816731bac61'",",","'UId':'7c69d115-2127-4aad-8286-8fe949c7cdce'",",'Col':",COLUMN(BCDanhMucDauTu_06136!G25),",'Row':",ROW(BCDanhMucDauTu_06136!G25),",","'Format':'numberic'",",'Value':'",SUBSTITUTE(BCDanhMucDauTu_06136!G25,"'","\'"),"','TargetCode':''}")</f>
        <v>{'SheetId':'574af409-ffc2-40ee-a576-3816731bac61','UId':'7c69d115-2127-4aad-8286-8fe949c7cdce','Col':7,'Row':25,'Format':'numberic','Value':'0','TargetCode':''}</v>
      </c>
    </row>
    <row r="274" spans="1:1" x14ac:dyDescent="0.2">
      <c r="A274" t="str">
        <f>CONCATENATE("{'SheetId':'574af409-ffc2-40ee-a576-3816731bac61'",",","'UId':'550023ac-95e0-4837-86fb-7c6c73ec82ea'",",'Col':",COLUMN(BCDanhMucDauTu_06136!A27),",'Row':",ROW(BCDanhMucDauTu_06136!A27),",","'ColDynamic':",COLUMN(BCDanhMucDauTu_06136!A26),",","'RowDynamic':",ROW(BCDanhMucDauTu_06136!A26),",","'Format':'string'",",'Value':'",SUBSTITUTE(BCDanhMucDauTu_06136!A27,"'","\'"),"','TargetCode':''}")</f>
        <v>{'SheetId':'574af409-ffc2-40ee-a576-3816731bac61','UId':'550023ac-95e0-4837-86fb-7c6c73ec82ea','Col':1,'Row':27,'ColDynamic':1,'RowDynamic':26,'Format':'string','Value':'','TargetCode':''}</v>
      </c>
    </row>
    <row r="275" spans="1:1" x14ac:dyDescent="0.2">
      <c r="A275" t="str">
        <f>CONCATENATE("{'SheetId':'574af409-ffc2-40ee-a576-3816731bac61'",",","'UId':'9e1e58a2-29e6-4290-b35e-8f7fba1cd6ed'",",'Col':",COLUMN(BCDanhMucDauTu_06136!B27),",'Row':",ROW(BCDanhMucDauTu_06136!B27),",","'ColDynamic':",COLUMN(BCDanhMucDauTu_06136!B25),",","'RowDynamic':",ROW(BCDanhMucDauTu_06136!B25),",","'Format':'string'",",'Value':'",SUBSTITUTE(BCDanhMucDauTu_06136!B27,"'","\'"),"','TargetCode':''}")</f>
        <v>{'SheetId':'574af409-ffc2-40ee-a576-3816731bac61','UId':'9e1e58a2-29e6-4290-b35e-8f7fba1cd6ed','Col':2,'Row':27,'ColDynamic':2,'RowDynamic':25,'Format':'string','Value':'Tổng','TargetCode':''}</v>
      </c>
    </row>
    <row r="276" spans="1:1" x14ac:dyDescent="0.2">
      <c r="A276" t="str">
        <f>CONCATENATE("{'SheetId':'574af409-ffc2-40ee-a576-3816731bac61'",",","'UId':'d90e1159-0ef8-42eb-a86c-030f8b317a68'",",'Col':",COLUMN(BCDanhMucDauTu_06136!C27),",'Row':",ROW(BCDanhMucDauTu_06136!C27),",","'ColDynamic':",COLUMN(BCDanhMucDauTu_06136!C26),",","'RowDynamic':",ROW(BCDanhMucDauTu_06136!C26),",","'Format':'string'",",'Value':'",SUBSTITUTE(BCDanhMucDauTu_06136!C27,"'","\'"),"','TargetCode':''}")</f>
        <v>{'SheetId':'574af409-ffc2-40ee-a576-3816731bac61','UId':'d90e1159-0ef8-42eb-a86c-030f8b317a68','Col':3,'Row':27,'ColDynamic':3,'RowDynamic':26,'Format':'string','Value':'2249','TargetCode':''}</v>
      </c>
    </row>
    <row r="277" spans="1:1" x14ac:dyDescent="0.2">
      <c r="A277" t="str">
        <f>CONCATENATE("{'SheetId':'574af409-ffc2-40ee-a576-3816731bac61'",",","'UId':'88ef2547-d7c4-436b-bbea-3cb0d945a100'",",'Col':",COLUMN(BCDanhMucDauTu_06136!D27),",'Row':",ROW(BCDanhMucDauTu_06136!D27),",","'ColDynamic':",COLUMN(BCDanhMucDauTu_06136!C25),",","'RowDynamic':",ROW(BCDanhMucDauTu_06136!C25),",","'Format':'numberic'",",'Value':'",SUBSTITUTE(BCDanhMucDauTu_06136!D27,"'","\'"),"','TargetCode':''}")</f>
        <v>{'SheetId':'574af409-ffc2-40ee-a576-3816731bac61','UId':'88ef2547-d7c4-436b-bbea-3cb0d945a100','Col':4,'Row':27,'ColDynamic':3,'RowDynamic':25,'Format':'numberic','Value':'','TargetCode':''}</v>
      </c>
    </row>
    <row r="278" spans="1:1" x14ac:dyDescent="0.2">
      <c r="A278" t="str">
        <f>CONCATENATE("{'SheetId':'574af409-ffc2-40ee-a576-3816731bac61'",",","'UId':'9c568e35-e07b-4c9a-804b-43070c3f9c16'",",'Col':",COLUMN(BCDanhMucDauTu_06136!E27),",'Row':",ROW(BCDanhMucDauTu_06136!E27),",","'ColDynamic':",COLUMN(BCDanhMucDauTu_06136!D25),",","'RowDynamic':",ROW(BCDanhMucDauTu_06136!D25),",","'Format':'numberic'",",'Value':'",SUBSTITUTE(BCDanhMucDauTu_06136!E27,"'","\'"),"','TargetCode':''}")</f>
        <v>{'SheetId':'574af409-ffc2-40ee-a576-3816731bac61','UId':'9c568e35-e07b-4c9a-804b-43070c3f9c16','Col':5,'Row':27,'ColDynamic':4,'RowDynamic':25,'Format':'numberic','Value':'','TargetCode':''}</v>
      </c>
    </row>
    <row r="279" spans="1:1" x14ac:dyDescent="0.2">
      <c r="A279" t="str">
        <f>CONCATENATE("{'SheetId':'574af409-ffc2-40ee-a576-3816731bac61'",",","'UId':'085d1183-2376-4bf4-b01e-39c67341cff5'",",'Col':",COLUMN(BCDanhMucDauTu_06136!F27),",'Row':",ROW(BCDanhMucDauTu_06136!F27),",","'ColDynamic':",COLUMN(BCDanhMucDauTu_06136!E25),",","'RowDynamic':",ROW(BCDanhMucDauTu_06136!E25),",","'Format':'numberic'",",'Value':'",SUBSTITUTE(BCDanhMucDauTu_06136!F27,"'","\'"),"','TargetCode':''}")</f>
        <v>{'SheetId':'574af409-ffc2-40ee-a576-3816731bac61','UId':'085d1183-2376-4bf4-b01e-39c67341cff5','Col':6,'Row':27,'ColDynamic':5,'RowDynamic':25,'Format':'numberic','Value':'','TargetCode':''}</v>
      </c>
    </row>
    <row r="280" spans="1:1" x14ac:dyDescent="0.2">
      <c r="A280" t="str">
        <f>CONCATENATE("{'SheetId':'574af409-ffc2-40ee-a576-3816731bac61'",",","'UId':'2340fb3b-4e91-4d4d-8ed8-42027c797e84'",",'Col':",COLUMN(BCDanhMucDauTu_06136!G27),",'Row':",ROW(BCDanhMucDauTu_06136!G27),",","'ColDynamic':",COLUMN(BCDanhMucDauTu_06136!F25),",","'RowDynamic':",ROW(BCDanhMucDauTu_06136!F25),",","'Format':'numberic'",",'Value':'",SUBSTITUTE(BCDanhMucDauTu_06136!G27,"'","\'"),"','TargetCode':''}")</f>
        <v>{'SheetId':'574af409-ffc2-40ee-a576-3816731bac61','UId':'2340fb3b-4e91-4d4d-8ed8-42027c797e84','Col':7,'Row':27,'ColDynamic':6,'RowDynamic':25,'Format':'numberic','Value':'','TargetCode':''}</v>
      </c>
    </row>
    <row r="281" spans="1:1" x14ac:dyDescent="0.2">
      <c r="A281" t="str">
        <f>CONCATENATE("{'SheetId':'574af409-ffc2-40ee-a576-3816731bac61'",",","'UId':'2f7ce5b3-720a-4516-9546-8490351de456'",",'Col':",COLUMN(BCDanhMucDauTu_06136!D28),",'Row':",ROW(BCDanhMucDauTu_06136!D28),",","'Format':'numberic'",",'Value':'",SUBSTITUTE(BCDanhMucDauTu_06136!D28,"'","\'"),"','TargetCode':''}")</f>
        <v>{'SheetId':'574af409-ffc2-40ee-a576-3816731bac61','UId':'2f7ce5b3-720a-4516-9546-8490351de456','Col':4,'Row':28,'Format':'numberic','Value':'0','TargetCode':''}</v>
      </c>
    </row>
    <row r="282" spans="1:1" x14ac:dyDescent="0.2">
      <c r="A282" t="str">
        <f>CONCATENATE("{'SheetId':'574af409-ffc2-40ee-a576-3816731bac61'",",","'UId':'a4936013-c543-4d9c-ae59-91650dfbce6b'",",'Col':",COLUMN(BCDanhMucDauTu_06136!E28),",'Row':",ROW(BCDanhMucDauTu_06136!E28),",","'Format':'numberic'",",'Value':'",SUBSTITUTE(BCDanhMucDauTu_06136!E28,"'","\'"),"','TargetCode':''}")</f>
        <v>{'SheetId':'574af409-ffc2-40ee-a576-3816731bac61','UId':'a4936013-c543-4d9c-ae59-91650dfbce6b','Col':5,'Row':28,'Format':'numberic','Value':'0','TargetCode':''}</v>
      </c>
    </row>
    <row r="283" spans="1:1" x14ac:dyDescent="0.2">
      <c r="A283" t="str">
        <f>CONCATENATE("{'SheetId':'574af409-ffc2-40ee-a576-3816731bac61'",",","'UId':'3cc498a3-a70c-4e36-9bef-b9bce44459ab'",",'Col':",COLUMN(BCDanhMucDauTu_06136!F28),",'Row':",ROW(BCDanhMucDauTu_06136!F28),",","'Format':'numberic'",",'Value':'",SUBSTITUTE(BCDanhMucDauTu_06136!F28,"'","\'"),"','TargetCode':''}")</f>
        <v>{'SheetId':'574af409-ffc2-40ee-a576-3816731bac61','UId':'3cc498a3-a70c-4e36-9bef-b9bce44459ab','Col':6,'Row':28,'Format':'numberic','Value':'0','TargetCode':''}</v>
      </c>
    </row>
    <row r="284" spans="1:1" x14ac:dyDescent="0.2">
      <c r="A284" t="str">
        <f>CONCATENATE("{'SheetId':'574af409-ffc2-40ee-a576-3816731bac61'",",","'UId':'4a11e8f5-dd0b-4759-a2c3-6eb54e125c35'",",'Col':",COLUMN(BCDanhMucDauTu_06136!G28),",'Row':",ROW(BCDanhMucDauTu_06136!G28),",","'Format':'numberic'",",'Value':'",SUBSTITUTE(BCDanhMucDauTu_06136!G28,"'","\'"),"','TargetCode':''}")</f>
        <v>{'SheetId':'574af409-ffc2-40ee-a576-3816731bac61','UId':'4a11e8f5-dd0b-4759-a2c3-6eb54e125c35','Col':7,'Row':28,'Format':'numberic','Value':'0','TargetCode':''}</v>
      </c>
    </row>
    <row r="285" spans="1:1" x14ac:dyDescent="0.2">
      <c r="A285" t="str">
        <f>CONCATENATE("{'SheetId':'574af409-ffc2-40ee-a576-3816731bac61'",",","'UId':'4b909937-13c9-4628-bf4e-ba3fa50572be'",",'Col':",COLUMN(BCDanhMucDauTu_06136!A30),",'Row':",ROW(BCDanhMucDauTu_06136!A30),",","'ColDynamic':",COLUMN(BCDanhMucDauTu_06136!A29),",","'RowDynamic':",ROW(BCDanhMucDauTu_06136!A29),",","'Format':'string'",",'Value':'",SUBSTITUTE(BCDanhMucDauTu_06136!A30,"'","\'"),"','TargetCode':''}")</f>
        <v>{'SheetId':'574af409-ffc2-40ee-a576-3816731bac61','UId':'4b909937-13c9-4628-bf4e-ba3fa50572be','Col':1,'Row':30,'ColDynamic':1,'RowDynamic':29,'Format':'string','Value':'','TargetCode':''}</v>
      </c>
    </row>
    <row r="286" spans="1:1" x14ac:dyDescent="0.2">
      <c r="A286" t="str">
        <f>CONCATENATE("{'SheetId':'574af409-ffc2-40ee-a576-3816731bac61'",",","'UId':'a16527cb-c84d-44cd-a283-c00a495250a9'",",'Col':",COLUMN(BCDanhMucDauTu_06136!B30),",'Row':",ROW(BCDanhMucDauTu_06136!B30),",","'ColDynamic':",COLUMN(BCDanhMucDauTu_06136!B25),",","'RowDynamic':",ROW(BCDanhMucDauTu_06136!B25),",","'Format':'string'",",'Value':'",SUBSTITUTE(BCDanhMucDauTu_06136!B30,"'","\'"),"','TargetCode':''}")</f>
        <v>{'SheetId':'574af409-ffc2-40ee-a576-3816731bac61','UId':'a16527cb-c84d-44cd-a283-c00a495250a9','Col':2,'Row':30,'ColDynamic':2,'RowDynamic':25,'Format':'string','Value':'Tổng','TargetCode':''}</v>
      </c>
    </row>
    <row r="287" spans="1:1" x14ac:dyDescent="0.2">
      <c r="A287" t="str">
        <f>CONCATENATE("{'SheetId':'574af409-ffc2-40ee-a576-3816731bac61'",",","'UId':'d58c51e2-9822-4252-af04-a2a4e0d9331a'",",'Col':",COLUMN(BCDanhMucDauTu_06136!C30),",'Row':",ROW(BCDanhMucDauTu_06136!C30),",","'ColDynamic':",COLUMN(BCDanhMucDauTu_06136!C29),",","'RowDynamic':",ROW(BCDanhMucDauTu_06136!C29),",","'Format':'string'",",'Value':'",SUBSTITUTE(BCDanhMucDauTu_06136!C30,"'","\'"),"','TargetCode':''}")</f>
        <v>{'SheetId':'574af409-ffc2-40ee-a576-3816731bac61','UId':'d58c51e2-9822-4252-af04-a2a4e0d9331a','Col':3,'Row':30,'ColDynamic':3,'RowDynamic':29,'Format':'string','Value':'2252','TargetCode':''}</v>
      </c>
    </row>
    <row r="288" spans="1:1" x14ac:dyDescent="0.2">
      <c r="A288" t="str">
        <f>CONCATENATE("{'SheetId':'574af409-ffc2-40ee-a576-3816731bac61'",",","'UId':'3f07740b-2340-41b3-ab48-05ab7804972c'",",'Col':",COLUMN(BCDanhMucDauTu_06136!D30),",'Row':",ROW(BCDanhMucDauTu_06136!D30),",","'ColDynamic':",COLUMN(BCDanhMucDauTu_06136!C25),",","'RowDynamic':",ROW(BCDanhMucDauTu_06136!C25),",","'Format':'numberic'",",'Value':'",SUBSTITUTE(BCDanhMucDauTu_06136!D30,"'","\'"),"','TargetCode':''}")</f>
        <v>{'SheetId':'574af409-ffc2-40ee-a576-3816731bac61','UId':'3f07740b-2340-41b3-ab48-05ab7804972c','Col':4,'Row':30,'ColDynamic':3,'RowDynamic':25,'Format':'numberic','Value':'','TargetCode':''}</v>
      </c>
    </row>
    <row r="289" spans="1:1" x14ac:dyDescent="0.2">
      <c r="A289" t="str">
        <f>CONCATENATE("{'SheetId':'574af409-ffc2-40ee-a576-3816731bac61'",",","'UId':'85a1c4a8-8ef8-4478-bf88-c1b60c6e2a8f'",",'Col':",COLUMN(BCDanhMucDauTu_06136!E30),",'Row':",ROW(BCDanhMucDauTu_06136!E30),",","'ColDynamic':",COLUMN(BCDanhMucDauTu_06136!D25),",","'RowDynamic':",ROW(BCDanhMucDauTu_06136!D25),",","'Format':'numberic'",",'Value':'",SUBSTITUTE(BCDanhMucDauTu_06136!E30,"'","\'"),"','TargetCode':''}")</f>
        <v>{'SheetId':'574af409-ffc2-40ee-a576-3816731bac61','UId':'85a1c4a8-8ef8-4478-bf88-c1b60c6e2a8f','Col':5,'Row':30,'ColDynamic':4,'RowDynamic':25,'Format':'numberic','Value':'','TargetCode':''}</v>
      </c>
    </row>
    <row r="290" spans="1:1" x14ac:dyDescent="0.2">
      <c r="A290" t="str">
        <f>CONCATENATE("{'SheetId':'574af409-ffc2-40ee-a576-3816731bac61'",",","'UId':'1f6f034a-d404-45c2-a4d4-e21f184a1ebf'",",'Col':",COLUMN(BCDanhMucDauTu_06136!F30),",'Row':",ROW(BCDanhMucDauTu_06136!F30),",","'ColDynamic':",COLUMN(BCDanhMucDauTu_06136!E25),",","'RowDynamic':",ROW(BCDanhMucDauTu_06136!E25),",","'Format':'numberic'",",'Value':'",SUBSTITUTE(BCDanhMucDauTu_06136!F30,"'","\'"),"','TargetCode':''}")</f>
        <v>{'SheetId':'574af409-ffc2-40ee-a576-3816731bac61','UId':'1f6f034a-d404-45c2-a4d4-e21f184a1ebf','Col':6,'Row':30,'ColDynamic':5,'RowDynamic':25,'Format':'numberic','Value':'','TargetCode':''}</v>
      </c>
    </row>
    <row r="291" spans="1:1" x14ac:dyDescent="0.2">
      <c r="A291" t="str">
        <f>CONCATENATE("{'SheetId':'574af409-ffc2-40ee-a576-3816731bac61'",",","'UId':'a9058fb4-6ce6-46dd-923d-696ae2217c20'",",'Col':",COLUMN(BCDanhMucDauTu_06136!G30),",'Row':",ROW(BCDanhMucDauTu_06136!G30),",","'ColDynamic':",COLUMN(BCDanhMucDauTu_06136!F25),",","'RowDynamic':",ROW(BCDanhMucDauTu_06136!F25),",","'Format':'numberic'",",'Value':'",SUBSTITUTE(BCDanhMucDauTu_06136!G30,"'","\'"),"','TargetCode':''}")</f>
        <v>{'SheetId':'574af409-ffc2-40ee-a576-3816731bac61','UId':'a9058fb4-6ce6-46dd-923d-696ae2217c20','Col':7,'Row':30,'ColDynamic':6,'RowDynamic':25,'Format':'numberic','Value':'','TargetCode':''}</v>
      </c>
    </row>
    <row r="292" spans="1:1" x14ac:dyDescent="0.2">
      <c r="A292" t="str">
        <f>CONCATENATE("{'SheetId':'574af409-ffc2-40ee-a576-3816731bac61'",",","'UId':'c6b09c6d-0c16-40ca-99a9-e589635b6927'",",'Col':",COLUMN(BCDanhMucDauTu_06136!D31),",'Row':",ROW(BCDanhMucDauTu_06136!D31),",","'Format':'numberic'",",'Value':'",SUBSTITUTE(BCDanhMucDauTu_06136!D31,"'","\'"),"','TargetCode':''}")</f>
        <v>{'SheetId':'574af409-ffc2-40ee-a576-3816731bac61','UId':'c6b09c6d-0c16-40ca-99a9-e589635b6927','Col':4,'Row':31,'Format':'numberic','Value':'0','TargetCode':''}</v>
      </c>
    </row>
    <row r="293" spans="1:1" x14ac:dyDescent="0.2">
      <c r="A293" t="str">
        <f>CONCATENATE("{'SheetId':'574af409-ffc2-40ee-a576-3816731bac61'",",","'UId':'9b0a56e8-9374-4a43-87bb-3d0cf6cf0581'",",'Col':",COLUMN(BCDanhMucDauTu_06136!E31),",'Row':",ROW(BCDanhMucDauTu_06136!E31),",","'Format':'numberic'",",'Value':'",SUBSTITUTE(BCDanhMucDauTu_06136!E31,"'","\'"),"','TargetCode':''}")</f>
        <v>{'SheetId':'574af409-ffc2-40ee-a576-3816731bac61','UId':'9b0a56e8-9374-4a43-87bb-3d0cf6cf0581','Col':5,'Row':31,'Format':'numberic','Value':'0','TargetCode':''}</v>
      </c>
    </row>
    <row r="294" spans="1:1" x14ac:dyDescent="0.2">
      <c r="A294" t="str">
        <f>CONCATENATE("{'SheetId':'574af409-ffc2-40ee-a576-3816731bac61'",",","'UId':'14976426-09f8-4d19-9e01-741cfd880e4e'",",'Col':",COLUMN(BCDanhMucDauTu_06136!F31),",'Row':",ROW(BCDanhMucDauTu_06136!F31),",","'Format':'numberic'",",'Value':'",SUBSTITUTE(BCDanhMucDauTu_06136!F31,"'","\'"),"','TargetCode':''}")</f>
        <v>{'SheetId':'574af409-ffc2-40ee-a576-3816731bac61','UId':'14976426-09f8-4d19-9e01-741cfd880e4e','Col':6,'Row':31,'Format':'numberic','Value':'0','TargetCode':''}</v>
      </c>
    </row>
    <row r="295" spans="1:1" x14ac:dyDescent="0.2">
      <c r="A295" t="str">
        <f>CONCATENATE("{'SheetId':'574af409-ffc2-40ee-a576-3816731bac61'",",","'UId':'69702b9e-1675-4199-b9b0-8051fb4af00f'",",'Col':",COLUMN(BCDanhMucDauTu_06136!G31),",'Row':",ROW(BCDanhMucDauTu_06136!G31),",","'Format':'numberic'",",'Value':'",SUBSTITUTE(BCDanhMucDauTu_06136!G31,"'","\'"),"','TargetCode':''}")</f>
        <v>{'SheetId':'574af409-ffc2-40ee-a576-3816731bac61','UId':'69702b9e-1675-4199-b9b0-8051fb4af00f','Col':7,'Row':31,'Format':'numberic','Value':'0','TargetCode':''}</v>
      </c>
    </row>
    <row r="296" spans="1:1" x14ac:dyDescent="0.2">
      <c r="A296" t="str">
        <f>CONCATENATE("{'SheetId':'574af409-ffc2-40ee-a576-3816731bac61'",",","'UId':'24fa20e2-14ea-49f3-9395-5fdc24177448'",",'Col':",COLUMN(BCDanhMucDauTu_06136!A34),",'Row':",ROW(BCDanhMucDauTu_06136!A34),",","'ColDynamic':",COLUMN(BCDanhMucDauTu_06136!A32),",","'RowDynamic':",ROW(BCDanhMucDauTu_06136!A32),",","'Format':'string'",",'Value':'",SUBSTITUTE(BCDanhMucDauTu_06136!A34,"'","\'"),"','TargetCode':''}")</f>
        <v>{'SheetId':'574af409-ffc2-40ee-a576-3816731bac61','UId':'24fa20e2-14ea-49f3-9395-5fdc24177448','Col':1,'Row':34,'ColDynamic':1,'RowDynamic':32,'Format':'string','Value':'','TargetCode':''}</v>
      </c>
    </row>
    <row r="297" spans="1:1" x14ac:dyDescent="0.2">
      <c r="A297" t="str">
        <f>CONCATENATE("{'SheetId':'574af409-ffc2-40ee-a576-3816731bac61'",",","'UId':'f1e0ae9c-3951-466d-9dad-23b5f3bc5766'",",'Col':",COLUMN(BCDanhMucDauTu_06136!B34),",'Row':",ROW(BCDanhMucDauTu_06136!B34),",","'ColDynamic':",COLUMN(BCDanhMucDauTu_06136!B29),",","'RowDynamic':",ROW(BCDanhMucDauTu_06136!B29),",","'Format':'string'",",'Value':'",SUBSTITUTE(BCDanhMucDauTu_06136!B34,"'","\'"),"','TargetCode':''}")</f>
        <v>{'SheetId':'574af409-ffc2-40ee-a576-3816731bac61','UId':'f1e0ae9c-3951-466d-9dad-23b5f3bc5766','Col':2,'Row':34,'ColDynamic':2,'RowDynamic':29,'Format':'string','Value':'Tổng','TargetCode':''}</v>
      </c>
    </row>
    <row r="298" spans="1:1" x14ac:dyDescent="0.2">
      <c r="A298" t="str">
        <f>CONCATENATE("{'SheetId':'574af409-ffc2-40ee-a576-3816731bac61'",",","'UId':'bb254d5b-0d5d-470e-9df3-26bc163a96c7'",",'Col':",COLUMN(BCDanhMucDauTu_06136!C34),",'Row':",ROW(BCDanhMucDauTu_06136!C34),",","'ColDynamic':",COLUMN(BCDanhMucDauTu_06136!C32),",","'RowDynamic':",ROW(BCDanhMucDauTu_06136!C32),",","'Format':'string'",",'Value':'",SUBSTITUTE(BCDanhMucDauTu_06136!C34,"'","\'"),"','TargetCode':''}")</f>
        <v>{'SheetId':'574af409-ffc2-40ee-a576-3816731bac61','UId':'bb254d5b-0d5d-470e-9df3-26bc163a96c7','Col':3,'Row':34,'ColDynamic':3,'RowDynamic':32,'Format':'string','Value':'2254','TargetCode':''}</v>
      </c>
    </row>
    <row r="299" spans="1:1" x14ac:dyDescent="0.2">
      <c r="A299" t="str">
        <f>CONCATENATE("{'SheetId':'574af409-ffc2-40ee-a576-3816731bac61'",",","'UId':'eee5f907-7e41-43ea-980a-6345550fedf6'",",'Col':",COLUMN(BCDanhMucDauTu_06136!D34),",'Row':",ROW(BCDanhMucDauTu_06136!D34),",","'ColDynamic':",COLUMN(BCDanhMucDauTu_06136!C29),",","'RowDynamic':",ROW(BCDanhMucDauTu_06136!C29),",","'Format':'numberic'",",'Value':'",SUBSTITUTE(BCDanhMucDauTu_06136!D34,"'","\'"),"','TargetCode':''}")</f>
        <v>{'SheetId':'574af409-ffc2-40ee-a576-3816731bac61','UId':'eee5f907-7e41-43ea-980a-6345550fedf6','Col':4,'Row':34,'ColDynamic':3,'RowDynamic':29,'Format':'numberic','Value':'1539106','TargetCode':''}</v>
      </c>
    </row>
    <row r="300" spans="1:1" x14ac:dyDescent="0.2">
      <c r="A300" t="str">
        <f>CONCATENATE("{'SheetId':'574af409-ffc2-40ee-a576-3816731bac61'",",","'UId':'2ac0eba5-c52c-4ff1-aaa1-3b72f3a123c9'",",'Col':",COLUMN(BCDanhMucDauTu_06136!E34),",'Row':",ROW(BCDanhMucDauTu_06136!E34),",","'ColDynamic':",COLUMN(BCDanhMucDauTu_06136!D29),",","'RowDynamic':",ROW(BCDanhMucDauTu_06136!D29),",","'Format':'numberic'",",'Value':'",SUBSTITUTE(BCDanhMucDauTu_06136!E34,"'","\'"),"','TargetCode':''}")</f>
        <v>{'SheetId':'574af409-ffc2-40ee-a576-3816731bac61','UId':'2ac0eba5-c52c-4ff1-aaa1-3b72f3a123c9','Col':5,'Row':34,'ColDynamic':4,'RowDynamic':29,'Format':'numberic','Value':'','TargetCode':''}</v>
      </c>
    </row>
    <row r="301" spans="1:1" x14ac:dyDescent="0.2">
      <c r="A301" t="str">
        <f>CONCATENATE("{'SheetId':'574af409-ffc2-40ee-a576-3816731bac61'",",","'UId':'58176cb2-9827-4a10-9752-c7bdf59db1d7'",",'Col':",COLUMN(BCDanhMucDauTu_06136!F34),",'Row':",ROW(BCDanhMucDauTu_06136!F34),",","'ColDynamic':",COLUMN(BCDanhMucDauTu_06136!E29),",","'RowDynamic':",ROW(BCDanhMucDauTu_06136!E29),",","'Format':'numberic'",",'Value':'",SUBSTITUTE(BCDanhMucDauTu_06136!F34,"'","\'"),"','TargetCode':''}")</f>
        <v>{'SheetId':'574af409-ffc2-40ee-a576-3816731bac61','UId':'58176cb2-9827-4a10-9752-c7bdf59db1d7','Col':6,'Row':34,'ColDynamic':5,'RowDynamic':29,'Format':'numberic','Value':'68574628750','TargetCode':''}</v>
      </c>
    </row>
    <row r="302" spans="1:1" x14ac:dyDescent="0.2">
      <c r="A302" t="str">
        <f>CONCATENATE("{'SheetId':'574af409-ffc2-40ee-a576-3816731bac61'",",","'UId':'04e3c266-6844-415c-8f3c-0faed0ea9a18'",",'Col':",COLUMN(BCDanhMucDauTu_06136!G34),",'Row':",ROW(BCDanhMucDauTu_06136!G34),",","'ColDynamic':",COLUMN(BCDanhMucDauTu_06136!F29),",","'RowDynamic':",ROW(BCDanhMucDauTu_06136!F29),",","'Format':'numberic'",",'Value':'",SUBSTITUTE(BCDanhMucDauTu_06136!G34,"'","\'"),"','TargetCode':''}")</f>
        <v>{'SheetId':'574af409-ffc2-40ee-a576-3816731bac61','UId':'04e3c266-6844-415c-8f3c-0faed0ea9a18','Col':7,'Row':34,'ColDynamic':6,'RowDynamic':29,'Format':'numberic','Value':'0.9979','TargetCode':''}</v>
      </c>
    </row>
    <row r="303" spans="1:1" x14ac:dyDescent="0.2">
      <c r="A303" t="str">
        <f>CONCATENATE("{'SheetId':'574af409-ffc2-40ee-a576-3816731bac61'",",","'UId':'7f91b03c-eb01-4882-9e30-55cb4b661843'",",'Col':",COLUMN(BCDanhMucDauTu_06136!D35),",'Row':",ROW(BCDanhMucDauTu_06136!D35),",","'Format':'numberic'",",'Value':'",SUBSTITUTE(BCDanhMucDauTu_06136!D35,"'","\'"),"','TargetCode':''}")</f>
        <v>{'SheetId':'574af409-ffc2-40ee-a576-3816731bac61','UId':'7f91b03c-eb01-4882-9e30-55cb4b661843','Col':4,'Row':35,'Format':'numberic','Value':'','TargetCode':''}</v>
      </c>
    </row>
    <row r="304" spans="1:1" x14ac:dyDescent="0.2">
      <c r="A304" t="str">
        <f>CONCATENATE("{'SheetId':'574af409-ffc2-40ee-a576-3816731bac61'",",","'UId':'a2b5b557-f869-48d6-b752-229797b09cad'",",'Col':",COLUMN(BCDanhMucDauTu_06136!E35),",'Row':",ROW(BCDanhMucDauTu_06136!E35),",","'Format':'numberic'",",'Value':'",SUBSTITUTE(BCDanhMucDauTu_06136!E35,"'","\'"),"','TargetCode':''}")</f>
        <v>{'SheetId':'574af409-ffc2-40ee-a576-3816731bac61','UId':'a2b5b557-f869-48d6-b752-229797b09cad','Col':5,'Row':35,'Format':'numberic','Value':'','TargetCode':''}</v>
      </c>
    </row>
    <row r="305" spans="1:1" x14ac:dyDescent="0.2">
      <c r="A305" t="str">
        <f>CONCATENATE("{'SheetId':'574af409-ffc2-40ee-a576-3816731bac61'",",","'UId':'fd3c80dd-3f92-42c6-9ea2-a536dceb7d01'",",'Col':",COLUMN(BCDanhMucDauTu_06136!F35),",'Row':",ROW(BCDanhMucDauTu_06136!F35),",","'Format':'numberic'",",'Value':'",SUBSTITUTE(BCDanhMucDauTu_06136!F35,"'","\'"),"','TargetCode':''}")</f>
        <v>{'SheetId':'574af409-ffc2-40ee-a576-3816731bac61','UId':'fd3c80dd-3f92-42c6-9ea2-a536dceb7d01','Col':6,'Row':35,'Format':'numberic','Value':'','TargetCode':''}</v>
      </c>
    </row>
    <row r="306" spans="1:1" x14ac:dyDescent="0.2">
      <c r="A306" t="str">
        <f>CONCATENATE("{'SheetId':'574af409-ffc2-40ee-a576-3816731bac61'",",","'UId':'87f78032-0a46-4a36-b70d-f88d8b8ef5fa'",",'Col':",COLUMN(BCDanhMucDauTu_06136!G35),",'Row':",ROW(BCDanhMucDauTu_06136!G35),",","'Format':'numberic'",",'Value':'",SUBSTITUTE(BCDanhMucDauTu_06136!G35,"'","\'"),"','TargetCode':''}")</f>
        <v>{'SheetId':'574af409-ffc2-40ee-a576-3816731bac61','UId':'87f78032-0a46-4a36-b70d-f88d8b8ef5fa','Col':7,'Row':35,'Format':'numberic','Value':'','TargetCode':''}</v>
      </c>
    </row>
    <row r="307" spans="1:1" x14ac:dyDescent="0.2">
      <c r="A307" t="str">
        <f>CONCATENATE("{'SheetId':'574af409-ffc2-40ee-a576-3816731bac61'",",","'UId':'b3ab2973-c7c6-4026-a15c-62a098dc2d8b'",",'Col':",COLUMN(BCDanhMucDauTu_06136!A41),",'Row':",ROW(BCDanhMucDauTu_06136!A41),",","'ColDynamic':",COLUMN(BCDanhMucDauTu_06136!A36),",","'RowDynamic':",ROW(BCDanhMucDauTu_06136!A36),",","'Format':'string'",",'Value':'",SUBSTITUTE(BCDanhMucDauTu_06136!A41,"'","\'"),"','TargetCode':''}")</f>
        <v>{'SheetId':'574af409-ffc2-40ee-a576-3816731bac61','UId':'b3ab2973-c7c6-4026-a15c-62a098dc2d8b','Col':1,'Row':41,'ColDynamic':1,'RowDynamic':36,'Format':'string','Value':'','TargetCode':''}</v>
      </c>
    </row>
    <row r="308" spans="1:1" x14ac:dyDescent="0.2">
      <c r="A308" t="str">
        <f>CONCATENATE("{'SheetId':'574af409-ffc2-40ee-a576-3816731bac61'",",","'UId':'b45c6bab-95ca-43bd-becd-a8efb862a89d'",",'Col':",COLUMN(BCDanhMucDauTu_06136!B41),",'Row':",ROW(BCDanhMucDauTu_06136!B41),",","'ColDynamic':",COLUMN(BCDanhMucDauTu_06136!B32),",","'RowDynamic':",ROW(BCDanhMucDauTu_06136!B32),",","'Format':'string'",",'Value':'",SUBSTITUTE(BCDanhMucDauTu_06136!B41,"'","\'"),"','TargetCode':''}")</f>
        <v>{'SheetId':'574af409-ffc2-40ee-a576-3816731bac61','UId':'b45c6bab-95ca-43bd-becd-a8efb862a89d','Col':2,'Row':41,'ColDynamic':2,'RowDynamic':32,'Format':'string','Value':'Tổng','TargetCode':''}</v>
      </c>
    </row>
    <row r="309" spans="1:1" x14ac:dyDescent="0.2">
      <c r="A309" t="str">
        <f>CONCATENATE("{'SheetId':'574af409-ffc2-40ee-a576-3816731bac61'",",","'UId':'68bd6556-ac42-4b7e-a940-52839bc286bd'",",'Col':",COLUMN(BCDanhMucDauTu_06136!C41),",'Row':",ROW(BCDanhMucDauTu_06136!C41),",","'ColDynamic':",COLUMN(BCDanhMucDauTu_06136!C36),",","'RowDynamic':",ROW(BCDanhMucDauTu_06136!C36),",","'Format':'string'",",'Value':'",SUBSTITUTE(BCDanhMucDauTu_06136!C41,"'","\'"),"','TargetCode':''}")</f>
        <v>{'SheetId':'574af409-ffc2-40ee-a576-3816731bac61','UId':'68bd6556-ac42-4b7e-a940-52839bc286bd','Col':3,'Row':41,'ColDynamic':3,'RowDynamic':36,'Format':'string','Value':'2257','TargetCode':''}</v>
      </c>
    </row>
    <row r="310" spans="1:1" x14ac:dyDescent="0.2">
      <c r="A310" t="str">
        <f>CONCATENATE("{'SheetId':'574af409-ffc2-40ee-a576-3816731bac61'",",","'UId':'340262d9-5c4c-448e-ba34-ae4f368bbdda'",",'Col':",COLUMN(BCDanhMucDauTu_06136!D41),",'Row':",ROW(BCDanhMucDauTu_06136!D41),",","'ColDynamic':",COLUMN(BCDanhMucDauTu_06136!C32),",","'RowDynamic':",ROW(BCDanhMucDauTu_06136!C32),",","'Format':'numberic'",",'Value':'",SUBSTITUTE(BCDanhMucDauTu_06136!D41,"'","\'"),"','TargetCode':''}")</f>
        <v>{'SheetId':'574af409-ffc2-40ee-a576-3816731bac61','UId':'340262d9-5c4c-448e-ba34-ae4f368bbdda','Col':4,'Row':41,'ColDynamic':3,'RowDynamic':32,'Format':'numberic','Value':'','TargetCode':''}</v>
      </c>
    </row>
    <row r="311" spans="1:1" x14ac:dyDescent="0.2">
      <c r="A311" t="str">
        <f>CONCATENATE("{'SheetId':'574af409-ffc2-40ee-a576-3816731bac61'",",","'UId':'2a036959-f36f-4775-94a6-ee0913f9bcf4'",",'Col':",COLUMN(BCDanhMucDauTu_06136!E41),",'Row':",ROW(BCDanhMucDauTu_06136!E41),",","'ColDynamic':",COLUMN(BCDanhMucDauTu_06136!D32),",","'RowDynamic':",ROW(BCDanhMucDauTu_06136!D32),",","'Format':'numberic'",",'Value':'",SUBSTITUTE(BCDanhMucDauTu_06136!E41,"'","\'"),"','TargetCode':''}")</f>
        <v>{'SheetId':'574af409-ffc2-40ee-a576-3816731bac61','UId':'2a036959-f36f-4775-94a6-ee0913f9bcf4','Col':5,'Row':41,'ColDynamic':4,'RowDynamic':32,'Format':'numberic','Value':'','TargetCode':''}</v>
      </c>
    </row>
    <row r="312" spans="1:1" x14ac:dyDescent="0.2">
      <c r="A312" t="str">
        <f>CONCATENATE("{'SheetId':'574af409-ffc2-40ee-a576-3816731bac61'",",","'UId':'51b9c3b3-8f09-4095-a9ef-b5d64d38b08e'",",'Col':",COLUMN(BCDanhMucDauTu_06136!F41),",'Row':",ROW(BCDanhMucDauTu_06136!F41),",","'ColDynamic':",COLUMN(BCDanhMucDauTu_06136!E32),",","'RowDynamic':",ROW(BCDanhMucDauTu_06136!E32),",","'Format':'numberic'",",'Value':'",SUBSTITUTE(BCDanhMucDauTu_06136!F41,"'","\'"),"','TargetCode':''}")</f>
        <v>{'SheetId':'574af409-ffc2-40ee-a576-3816731bac61','UId':'51b9c3b3-8f09-4095-a9ef-b5d64d38b08e','Col':6,'Row':41,'ColDynamic':5,'RowDynamic':32,'Format':'numberic','Value':'64165751','TargetCode':''}</v>
      </c>
    </row>
    <row r="313" spans="1:1" x14ac:dyDescent="0.2">
      <c r="A313" t="str">
        <f>CONCATENATE("{'SheetId':'574af409-ffc2-40ee-a576-3816731bac61'",",","'UId':'eca906ba-1be2-4d32-96d7-eed628de93ca'",",'Col':",COLUMN(BCDanhMucDauTu_06136!G41),",'Row':",ROW(BCDanhMucDauTu_06136!G41),",","'ColDynamic':",COLUMN(BCDanhMucDauTu_06136!F32),",","'RowDynamic':",ROW(BCDanhMucDauTu_06136!F32),",","'Format':'numberic'",",'Value':'",SUBSTITUTE(BCDanhMucDauTu_06136!G41,"'","\'"),"','TargetCode':''}")</f>
        <v>{'SheetId':'574af409-ffc2-40ee-a576-3816731bac61','UId':'eca906ba-1be2-4d32-96d7-eed628de93ca','Col':7,'Row':41,'ColDynamic':6,'RowDynamic':32,'Format':'numberic','Value':'0.0009','TargetCode':''}</v>
      </c>
    </row>
    <row r="314" spans="1:1" x14ac:dyDescent="0.2">
      <c r="A314" t="str">
        <f>CONCATENATE("{'SheetId':'574af409-ffc2-40ee-a576-3816731bac61'",",","'UId':'946605ff-813b-4689-b953-25e5a930d6fd'",",'Col':",COLUMN(BCDanhMucDauTu_06136!D42),",'Row':",ROW(BCDanhMucDauTu_06136!D42),",","'Format':'numberic'",",'Value':'",SUBSTITUTE(BCDanhMucDauTu_06136!D42,"'","\'"),"','TargetCode':''}")</f>
        <v>{'SheetId':'574af409-ffc2-40ee-a576-3816731bac61','UId':'946605ff-813b-4689-b953-25e5a930d6fd','Col':4,'Row':42,'Format':'numberic','Value':'','TargetCode':''}</v>
      </c>
    </row>
    <row r="315" spans="1:1" x14ac:dyDescent="0.2">
      <c r="A315" t="str">
        <f>CONCATENATE("{'SheetId':'574af409-ffc2-40ee-a576-3816731bac61'",",","'UId':'035d52a3-04cf-4402-a49d-701eb15d6aee'",",'Col':",COLUMN(BCDanhMucDauTu_06136!E42),",'Row':",ROW(BCDanhMucDauTu_06136!E42),",","'Format':'numberic'",",'Value':'",SUBSTITUTE(BCDanhMucDauTu_06136!E42,"'","\'"),"','TargetCode':''}")</f>
        <v>{'SheetId':'574af409-ffc2-40ee-a576-3816731bac61','UId':'035d52a3-04cf-4402-a49d-701eb15d6aee','Col':5,'Row':42,'Format':'numberic','Value':'','TargetCode':''}</v>
      </c>
    </row>
    <row r="316" spans="1:1" x14ac:dyDescent="0.2">
      <c r="A316" t="str">
        <f>CONCATENATE("{'SheetId':'574af409-ffc2-40ee-a576-3816731bac61'",",","'UId':'622238cb-b8cc-49ff-9a7f-325754072313'",",'Col':",COLUMN(BCDanhMucDauTu_06136!F42),",'Row':",ROW(BCDanhMucDauTu_06136!F42),",","'Format':'numberic'",",'Value':'",SUBSTITUTE(BCDanhMucDauTu_06136!F42,"'","\'"),"','TargetCode':''}")</f>
        <v>{'SheetId':'574af409-ffc2-40ee-a576-3816731bac61','UId':'622238cb-b8cc-49ff-9a7f-325754072313','Col':6,'Row':42,'Format':'numberic','Value':'','TargetCode':''}</v>
      </c>
    </row>
    <row r="317" spans="1:1" x14ac:dyDescent="0.2">
      <c r="A317" t="str">
        <f>CONCATENATE("{'SheetId':'574af409-ffc2-40ee-a576-3816731bac61'",",","'UId':'feea9f17-6c10-4dd9-91be-8e8426867716'",",'Col':",COLUMN(BCDanhMucDauTu_06136!G42),",'Row':",ROW(BCDanhMucDauTu_06136!G42),",","'Format':'numberic'",",'Value':'",SUBSTITUTE(BCDanhMucDauTu_06136!G42,"'","\'"),"','TargetCode':''}")</f>
        <v>{'SheetId':'574af409-ffc2-40ee-a576-3816731bac61','UId':'feea9f17-6c10-4dd9-91be-8e8426867716','Col':7,'Row':42,'Format':'numberic','Value':'','TargetCode':''}</v>
      </c>
    </row>
    <row r="318" spans="1:1" x14ac:dyDescent="0.2">
      <c r="A318" t="str">
        <f>CONCATENATE("{'SheetId':'574af409-ffc2-40ee-a576-3816731bac61'",",","'UId':'2639f99e-e3e0-4e4f-a9e6-5153fa1a65fb'",",'Col':",COLUMN(BCDanhMucDauTu_06136!D43),",'Row':",ROW(BCDanhMucDauTu_06136!D43),",","'Format':'numberic'",",'Value':'",SUBSTITUTE(BCDanhMucDauTu_06136!D43,"'","\'"),"','TargetCode':''}")</f>
        <v>{'SheetId':'574af409-ffc2-40ee-a576-3816731bac61','UId':'2639f99e-e3e0-4e4f-a9e6-5153fa1a65fb','Col':4,'Row':43,'Format':'numberic','Value':'0','TargetCode':''}</v>
      </c>
    </row>
    <row r="319" spans="1:1" x14ac:dyDescent="0.2">
      <c r="A319" t="str">
        <f>CONCATENATE("{'SheetId':'574af409-ffc2-40ee-a576-3816731bac61'",",","'UId':'9854e6d2-25b1-4087-8d18-4fd79b714c5f'",",'Col':",COLUMN(BCDanhMucDauTu_06136!E43),",'Row':",ROW(BCDanhMucDauTu_06136!E43),",","'Format':'numberic'",",'Value':'",SUBSTITUTE(BCDanhMucDauTu_06136!E43,"'","\'"),"','TargetCode':''}")</f>
        <v>{'SheetId':'574af409-ffc2-40ee-a576-3816731bac61','UId':'9854e6d2-25b1-4087-8d18-4fd79b714c5f','Col':5,'Row':43,'Format':'numberic','Value':'0','TargetCode':''}</v>
      </c>
    </row>
    <row r="320" spans="1:1" x14ac:dyDescent="0.2">
      <c r="A320" t="str">
        <f>CONCATENATE("{'SheetId':'574af409-ffc2-40ee-a576-3816731bac61'",",","'UId':'bb9541e6-38f6-4f05-ba75-7eaf8b7b613a'",",'Col':",COLUMN(BCDanhMucDauTu_06136!F43),",'Row':",ROW(BCDanhMucDauTu_06136!F43),",","'Format':'numberic'",",'Value':'",SUBSTITUTE(BCDanhMucDauTu_06136!F43,"'","\'"),"','TargetCode':''}")</f>
        <v>{'SheetId':'574af409-ffc2-40ee-a576-3816731bac61','UId':'bb9541e6-38f6-4f05-ba75-7eaf8b7b613a','Col':6,'Row':43,'Format':'numberic','Value':'78120916','TargetCode':''}</v>
      </c>
    </row>
    <row r="321" spans="1:1" x14ac:dyDescent="0.2">
      <c r="A321" t="str">
        <f>CONCATENATE("{'SheetId':'574af409-ffc2-40ee-a576-3816731bac61'",",","'UId':'51f332a9-87d4-40a6-8389-d7c738d84175'",",'Col':",COLUMN(BCDanhMucDauTu_06136!G43),",'Row':",ROW(BCDanhMucDauTu_06136!G43),",","'Format':'numberic'",",'Value':'",SUBSTITUTE(BCDanhMucDauTu_06136!G43,"'","\'"),"','TargetCode':''}")</f>
        <v>{'SheetId':'574af409-ffc2-40ee-a576-3816731bac61','UId':'51f332a9-87d4-40a6-8389-d7c738d84175','Col':7,'Row':43,'Format':'numberic','Value':'0.0011','TargetCode':''}</v>
      </c>
    </row>
    <row r="322" spans="1:1" x14ac:dyDescent="0.2">
      <c r="A322" t="str">
        <f>CONCATENATE("{'SheetId':'574af409-ffc2-40ee-a576-3816731bac61'",",","'UId':'bebda27e-ce61-48de-9710-14a5ccef2c93'",",'Col':",COLUMN(BCDanhMucDauTu_06136!A45),",'Row':",ROW(BCDanhMucDauTu_06136!A45),",","'ColDynamic':",COLUMN(BCDanhMucDauTu_06136!A44),",","'RowDynamic':",ROW(BCDanhMucDauTu_06136!A44),",","'Format':'string'",",'Value':'",SUBSTITUTE(BCDanhMucDauTu_06136!A45,"'","\'"),"','TargetCode':''}")</f>
        <v>{'SheetId':'574af409-ffc2-40ee-a576-3816731bac61','UId':'bebda27e-ce61-48de-9710-14a5ccef2c93','Col':1,'Row':45,'ColDynamic':1,'RowDynamic':44,'Format':'string','Value':'','TargetCode':''}</v>
      </c>
    </row>
    <row r="323" spans="1:1" x14ac:dyDescent="0.2">
      <c r="A323" t="str">
        <f>CONCATENATE("{'SheetId':'574af409-ffc2-40ee-a576-3816731bac61'",",","'UId':'c32cb375-5ff2-4967-8218-e598923cfbba'",",'Col':",COLUMN(BCDanhMucDauTu_06136!B45),",'Row':",ROW(BCDanhMucDauTu_06136!B45),",","'ColDynamic':",COLUMN(BCDanhMucDauTu_06136!B44),",","'RowDynamic':",ROW(BCDanhMucDauTu_06136!B44),",","'Format':'string'",",'Value':'",SUBSTITUTE(BCDanhMucDauTu_06136!B45,"'","\'"),"','TargetCode':''}")</f>
        <v>{'SheetId':'574af409-ffc2-40ee-a576-3816731bac61','UId':'c32cb375-5ff2-4967-8218-e598923cfbba','Col':2,'Row':45,'ColDynamic':2,'RowDynamic':44,'Format':'string','Value':'','TargetCode':''}</v>
      </c>
    </row>
    <row r="324" spans="1:1" x14ac:dyDescent="0.2">
      <c r="A324" t="str">
        <f>CONCATENATE("{'SheetId':'574af409-ffc2-40ee-a576-3816731bac61'",",","'UId':'c648a4bc-59eb-40ac-bc8d-3f5f44023218'",",'Col':",COLUMN(BCDanhMucDauTu_06136!C45),",'Row':",ROW(BCDanhMucDauTu_06136!C45),",","'ColDynamic':",COLUMN(BCDanhMucDauTu_06136!C44),",","'RowDynamic':",ROW(BCDanhMucDauTu_06136!C44),",","'Format':'string'",",'Value':'",SUBSTITUTE(BCDanhMucDauTu_06136!C45,"'","\'"),"','TargetCode':''}")</f>
        <v>{'SheetId':'574af409-ffc2-40ee-a576-3816731bac61','UId':'c648a4bc-59eb-40ac-bc8d-3f5f44023218','Col':3,'Row':45,'ColDynamic':3,'RowDynamic':44,'Format':'string','Value':'','TargetCode':''}</v>
      </c>
    </row>
    <row r="325" spans="1:1" x14ac:dyDescent="0.2">
      <c r="A325" t="str">
        <f>CONCATENATE("{'SheetId':'574af409-ffc2-40ee-a576-3816731bac61'",",","'UId':'41b1138c-0ee9-49fd-8125-0ccfee8329f2'",",'Col':",COLUMN(BCDanhMucDauTu_06136!D45),",'Row':",ROW(BCDanhMucDauTu_06136!D45),",","'ColDynamic':",COLUMN(BCDanhMucDauTu_06136!C44),",","'RowDynamic':",ROW(BCDanhMucDauTu_06136!C44),",","'Format':'numberic'",",'Value':'",SUBSTITUTE(BCDanhMucDauTu_06136!D45,"'","\'"),"','TargetCode':''}")</f>
        <v>{'SheetId':'574af409-ffc2-40ee-a576-3816731bac61','UId':'41b1138c-0ee9-49fd-8125-0ccfee8329f2','Col':4,'Row':45,'ColDynamic':3,'RowDynamic':44,'Format':'numberic','Value':'','TargetCode':''}</v>
      </c>
    </row>
    <row r="326" spans="1:1" x14ac:dyDescent="0.2">
      <c r="A326" t="str">
        <f>CONCATENATE("{'SheetId':'574af409-ffc2-40ee-a576-3816731bac61'",",","'UId':'f82878a2-7aef-41b5-bdd2-a3b86a2717a4'",",'Col':",COLUMN(BCDanhMucDauTu_06136!E45),",'Row':",ROW(BCDanhMucDauTu_06136!E45),",","'ColDynamic':",COLUMN(BCDanhMucDauTu_06136!D44),",","'RowDynamic':",ROW(BCDanhMucDauTu_06136!D44),",","'Format':'numberic'",",'Value':'",SUBSTITUTE(BCDanhMucDauTu_06136!E45,"'","\'"),"','TargetCode':''}")</f>
        <v>{'SheetId':'574af409-ffc2-40ee-a576-3816731bac61','UId':'f82878a2-7aef-41b5-bdd2-a3b86a2717a4','Col':5,'Row':45,'ColDynamic':4,'RowDynamic':44,'Format':'numberic','Value':'','TargetCode':''}</v>
      </c>
    </row>
    <row r="327" spans="1:1" x14ac:dyDescent="0.2">
      <c r="A327" t="str">
        <f>CONCATENATE("{'SheetId':'574af409-ffc2-40ee-a576-3816731bac61'",",","'UId':'33fb332a-0541-4fda-9013-695c48882dc1'",",'Col':",COLUMN(BCDanhMucDauTu_06136!F45),",'Row':",ROW(BCDanhMucDauTu_06136!F45),",","'ColDynamic':",COLUMN(BCDanhMucDauTu_06136!E44),",","'RowDynamic':",ROW(BCDanhMucDauTu_06136!E44),",","'Format':'numberic'",",'Value':'",SUBSTITUTE(BCDanhMucDauTu_06136!F45,"'","\'"),"','TargetCode':''}")</f>
        <v>{'SheetId':'574af409-ffc2-40ee-a576-3816731bac61','UId':'33fb332a-0541-4fda-9013-695c48882dc1','Col':6,'Row':45,'ColDynamic':5,'RowDynamic':44,'Format':'numberic','Value':'','TargetCode':''}</v>
      </c>
    </row>
    <row r="328" spans="1:1" x14ac:dyDescent="0.2">
      <c r="A328" t="str">
        <f>CONCATENATE("{'SheetId':'574af409-ffc2-40ee-a576-3816731bac61'",",","'UId':'bb5f150b-8d06-4eb4-803e-b40bf801f27c'",",'Col':",COLUMN(BCDanhMucDauTu_06136!G45),",'Row':",ROW(BCDanhMucDauTu_06136!G45),",","'ColDynamic':",COLUMN(BCDanhMucDauTu_06136!F44),",","'RowDynamic':",ROW(BCDanhMucDauTu_06136!F44),",","'Format':'numberic'",",'Value':'",SUBSTITUTE(BCDanhMucDauTu_06136!G45,"'","\'"),"','TargetCode':''}")</f>
        <v>{'SheetId':'574af409-ffc2-40ee-a576-3816731bac61','UId':'bb5f150b-8d06-4eb4-803e-b40bf801f27c','Col':7,'Row':45,'ColDynamic':6,'RowDynamic':44,'Format':'numberic','Value':'','TargetCode':''}</v>
      </c>
    </row>
    <row r="329" spans="1:1" x14ac:dyDescent="0.2">
      <c r="A329" t="str">
        <f>CONCATENATE("{'SheetId':'574af409-ffc2-40ee-a576-3816731bac61'",",","'UId':'5f173ba8-f97a-4297-a532-31490aad67ab'",",'Col':",COLUMN(BCDanhMucDauTu_06136!D46),",'Row':",ROW(BCDanhMucDauTu_06136!D46),",","'Format':'numberic'",",'Value':'",SUBSTITUTE(BCDanhMucDauTu_06136!D46,"'","\'"),"','TargetCode':''}")</f>
        <v>{'SheetId':'574af409-ffc2-40ee-a576-3816731bac61','UId':'5f173ba8-f97a-4297-a532-31490aad67ab','Col':4,'Row':46,'Format':'numberic','Value':'0','TargetCode':''}</v>
      </c>
    </row>
    <row r="330" spans="1:1" x14ac:dyDescent="0.2">
      <c r="A330" t="str">
        <f>CONCATENATE("{'SheetId':'574af409-ffc2-40ee-a576-3816731bac61'",",","'UId':'3ea74789-8760-45c4-a8f6-429cfe9e545a'",",'Col':",COLUMN(BCDanhMucDauTu_06136!E46),",'Row':",ROW(BCDanhMucDauTu_06136!E46),",","'Format':'numberic'",",'Value':'",SUBSTITUTE(BCDanhMucDauTu_06136!E46,"'","\'"),"','TargetCode':''}")</f>
        <v>{'SheetId':'574af409-ffc2-40ee-a576-3816731bac61','UId':'3ea74789-8760-45c4-a8f6-429cfe9e545a','Col':5,'Row':46,'Format':'numberic','Value':'0','TargetCode':''}</v>
      </c>
    </row>
    <row r="331" spans="1:1" x14ac:dyDescent="0.2">
      <c r="A331" t="str">
        <f>CONCATENATE("{'SheetId':'574af409-ffc2-40ee-a576-3816731bac61'",",","'UId':'bd9fdf26-7cc8-47af-99a9-c331cf571610'",",'Col':",COLUMN(BCDanhMucDauTu_06136!F46),",'Row':",ROW(BCDanhMucDauTu_06136!F46),",","'Format':'numberic'",",'Value':'",SUBSTITUTE(BCDanhMucDauTu_06136!F46,"'","\'"),"','TargetCode':''}")</f>
        <v>{'SheetId':'574af409-ffc2-40ee-a576-3816731bac61','UId':'bd9fdf26-7cc8-47af-99a9-c331cf571610','Col':6,'Row':46,'Format':'numberic','Value':'','TargetCode':''}</v>
      </c>
    </row>
    <row r="332" spans="1:1" x14ac:dyDescent="0.2">
      <c r="A332" t="str">
        <f>CONCATENATE("{'SheetId':'574af409-ffc2-40ee-a576-3816731bac61'",",","'UId':'c9776bac-3e1a-4230-af90-05a13775d5bf'",",'Col':",COLUMN(BCDanhMucDauTu_06136!G46),",'Row':",ROW(BCDanhMucDauTu_06136!G46),",","'Format':'numberic'",",'Value':'",SUBSTITUTE(BCDanhMucDauTu_06136!G46,"'","\'"),"','TargetCode':''}")</f>
        <v>{'SheetId':'574af409-ffc2-40ee-a576-3816731bac61','UId':'c9776bac-3e1a-4230-af90-05a13775d5bf','Col':7,'Row':46,'Format':'numberic','Value':'0','TargetCode':''}</v>
      </c>
    </row>
    <row r="333" spans="1:1" x14ac:dyDescent="0.2">
      <c r="A333" t="str">
        <f>CONCATENATE("{'SheetId':'574af409-ffc2-40ee-a576-3816731bac61'",",","'UId':'624201c4-5073-4efb-96f1-f2a98c825c08'",",'Col':",COLUMN(BCDanhMucDauTu_06136!A48),",'Row':",ROW(BCDanhMucDauTu_06136!A48),",","'ColDynamic':",COLUMN(BCDanhMucDauTu_06136!A48),",","'RowDynamic':",ROW(BCDanhMucDauTu_06136!A48),",","'Format':'string'",",'Value':'",SUBSTITUTE(BCDanhMucDauTu_06136!A48,"'","\'"),"','TargetCode':''}")</f>
        <v>{'SheetId':'574af409-ffc2-40ee-a576-3816731bac61','UId':'624201c4-5073-4efb-96f1-f2a98c825c08','Col':1,'Row':48,'ColDynamic':1,'RowDynamic':48,'Format':'string','Value':'','TargetCode':''}</v>
      </c>
    </row>
    <row r="334" spans="1:1" x14ac:dyDescent="0.2">
      <c r="A334" t="str">
        <f>CONCATENATE("{'SheetId':'574af409-ffc2-40ee-a576-3816731bac61'",",","'UId':'61fc6b03-8a22-421f-826d-3e9f208b43ff'",",'Col':",COLUMN(BCDanhMucDauTu_06136!B48),",'Row':",ROW(BCDanhMucDauTu_06136!B48),",","'ColDynamic':",COLUMN(BCDanhMucDauTu_06136!B44),",","'RowDynamic':",ROW(BCDanhMucDauTu_06136!B44),",","'Format':'string'",",'Value':'",SUBSTITUTE(BCDanhMucDauTu_06136!B48,"'","\'"),"','TargetCode':''}")</f>
        <v>{'SheetId':'574af409-ffc2-40ee-a576-3816731bac61','UId':'61fc6b03-8a22-421f-826d-3e9f208b43ff','Col':2,'Row':48,'ColDynamic':2,'RowDynamic':44,'Format':'string','Value':'Tổng','TargetCode':''}</v>
      </c>
    </row>
    <row r="335" spans="1:1" x14ac:dyDescent="0.2">
      <c r="A335" t="str">
        <f>CONCATENATE("{'SheetId':'574af409-ffc2-40ee-a576-3816731bac61'",",","'UId':'f642d3ff-476a-4e7e-a1eb-09f0914cdefd'",",'Col':",COLUMN(BCDanhMucDauTu_06136!C48),",'Row':",ROW(BCDanhMucDauTu_06136!C48),",","'ColDynamic':",COLUMN(BCDanhMucDauTu_06136!C48),",","'RowDynamic':",ROW(BCDanhMucDauTu_06136!C48),",","'Format':'string'",",'Value':'",SUBSTITUTE(BCDanhMucDauTu_06136!C48,"'","\'"),"','TargetCode':''}")</f>
        <v>{'SheetId':'574af409-ffc2-40ee-a576-3816731bac61','UId':'f642d3ff-476a-4e7e-a1eb-09f0914cdefd','Col':3,'Row':48,'ColDynamic':3,'RowDynamic':48,'Format':'string','Value':'2262','TargetCode':''}</v>
      </c>
    </row>
    <row r="336" spans="1:1" x14ac:dyDescent="0.2">
      <c r="A336" t="str">
        <f>CONCATENATE("{'SheetId':'574af409-ffc2-40ee-a576-3816731bac61'",",","'UId':'c181eb49-067d-4677-9368-50a145cf56fc'",",'Col':",COLUMN(BCDanhMucDauTu_06136!D48),",'Row':",ROW(BCDanhMucDauTu_06136!D48),",","'ColDynamic':",COLUMN(BCDanhMucDauTu_06136!C44),",","'RowDynamic':",ROW(BCDanhMucDauTu_06136!C44),",","'Format':'numberic'",",'Value':'",SUBSTITUTE(BCDanhMucDauTu_06136!D48,"'","\'"),"','TargetCode':''}")</f>
        <v>{'SheetId':'574af409-ffc2-40ee-a576-3816731bac61','UId':'c181eb49-067d-4677-9368-50a145cf56fc','Col':4,'Row':48,'ColDynamic':3,'RowDynamic':44,'Format':'numberic','Value':'','TargetCode':''}</v>
      </c>
    </row>
    <row r="337" spans="1:1" x14ac:dyDescent="0.2">
      <c r="A337" t="str">
        <f>CONCATENATE("{'SheetId':'574af409-ffc2-40ee-a576-3816731bac61'",",","'UId':'313a4293-a1d8-4565-bc41-5edce34fc1a9'",",'Col':",COLUMN(BCDanhMucDauTu_06136!E48),",'Row':",ROW(BCDanhMucDauTu_06136!E48),",","'ColDynamic':",COLUMN(BCDanhMucDauTu_06136!E48),",","'RowDynamic':",ROW(BCDanhMucDauTu_06136!E48),",","'Format':'numberic'",",'Value':'",SUBSTITUTE(BCDanhMucDauTu_06136!E48,"'","\'"),"','TargetCode':''}")</f>
        <v>{'SheetId':'574af409-ffc2-40ee-a576-3816731bac61','UId':'313a4293-a1d8-4565-bc41-5edce34fc1a9','Col':5,'Row':48,'ColDynamic':5,'RowDynamic':48,'Format':'numberic','Value':'','TargetCode':''}</v>
      </c>
    </row>
    <row r="338" spans="1:1" x14ac:dyDescent="0.2">
      <c r="A338" t="str">
        <f>CONCATENATE("{'SheetId':'574af409-ffc2-40ee-a576-3816731bac61'",",","'UId':'3590911a-38ad-4aca-8a4e-bfa3ced3e92e'",",'Col':",COLUMN(BCDanhMucDauTu_06136!F48),",'Row':",ROW(BCDanhMucDauTu_06136!F48),",","'ColDynamic':",COLUMN(BCDanhMucDauTu_06136!F48),",","'RowDynamic':",ROW(BCDanhMucDauTu_06136!F48),",","'Format':'numberic'",",'Value':'",SUBSTITUTE(BCDanhMucDauTu_06136!F48,"'","\'"),"','TargetCode':''}")</f>
        <v>{'SheetId':'574af409-ffc2-40ee-a576-3816731bac61','UId':'3590911a-38ad-4aca-8a4e-bfa3ced3e92e','Col':6,'Row':48,'ColDynamic':6,'RowDynamic':48,'Format':'numberic','Value':'78120916','TargetCode':''}</v>
      </c>
    </row>
    <row r="339" spans="1:1" x14ac:dyDescent="0.2">
      <c r="A339" t="str">
        <f>CONCATENATE("{'SheetId':'574af409-ffc2-40ee-a576-3816731bac61'",",","'UId':'e292e9fb-4a96-4377-b6ea-7db633778533'",",'Col':",COLUMN(BCDanhMucDauTu_06136!G48),",'Row':",ROW(BCDanhMucDauTu_06136!G48),",","'ColDynamic':",COLUMN(BCDanhMucDauTu_06136!G48),",","'RowDynamic':",ROW(BCDanhMucDauTu_06136!G48),",","'Format':'numberic'",",'Value':'",SUBSTITUTE(BCDanhMucDauTu_06136!G48,"'","\'"),"','TargetCode':''}")</f>
        <v>{'SheetId':'574af409-ffc2-40ee-a576-3816731bac61','UId':'e292e9fb-4a96-4377-b6ea-7db633778533','Col':7,'Row':48,'ColDynamic':7,'RowDynamic':48,'Format':'numberic','Value':'0.0011','TargetCode':''}</v>
      </c>
    </row>
    <row r="340" spans="1:1" x14ac:dyDescent="0.2">
      <c r="A340" t="str">
        <f>CONCATENATE("{'SheetId':'574af409-ffc2-40ee-a576-3816731bac61'",",","'UId':'0b0dbf1f-4afd-4ece-9bf1-e4eda2ebadf6'",",'Col':",COLUMN(BCDanhMucDauTu_06136!D49),",'Row':",ROW(BCDanhMucDauTu_06136!D49),",","'Format':'numberic'",",'Value':'",SUBSTITUTE(BCDanhMucDauTu_06136!D49,"'","\'"),"','TargetCode':''}")</f>
        <v>{'SheetId':'574af409-ffc2-40ee-a576-3816731bac61','UId':'0b0dbf1f-4afd-4ece-9bf1-e4eda2ebadf6','Col':4,'Row':49,'Format':'numberic','Value':'1539106','TargetCode':''}</v>
      </c>
    </row>
    <row r="341" spans="1:1" x14ac:dyDescent="0.2">
      <c r="A341" t="str">
        <f>CONCATENATE("{'SheetId':'574af409-ffc2-40ee-a576-3816731bac61'",",","'UId':'edcb7daa-ea81-42ed-8966-d9686232bc52'",",'Col':",COLUMN(BCDanhMucDauTu_06136!E49),",'Row':",ROW(BCDanhMucDauTu_06136!E49),",","'Format':'numberic'",",'Value':'",SUBSTITUTE(BCDanhMucDauTu_06136!E49,"'","\'"),"','TargetCode':''}")</f>
        <v>{'SheetId':'574af409-ffc2-40ee-a576-3816731bac61','UId':'edcb7daa-ea81-42ed-8966-d9686232bc52','Col':5,'Row':49,'Format':'numberic','Value':'','TargetCode':''}</v>
      </c>
    </row>
    <row r="342" spans="1:1" x14ac:dyDescent="0.2">
      <c r="A342" t="str">
        <f>CONCATENATE("{'SheetId':'574af409-ffc2-40ee-a576-3816731bac61'",",","'UId':'3d70fddf-fce1-4d94-8e00-2db65c1a52c4'",",'Col':",COLUMN(BCDanhMucDauTu_06136!F49),",'Row':",ROW(BCDanhMucDauTu_06136!F49),",","'Format':'numberic'",",'Value':'",SUBSTITUTE(BCDanhMucDauTu_06136!F49,"'","\'"),"','TargetCode':''}")</f>
        <v>{'SheetId':'574af409-ffc2-40ee-a576-3816731bac61','UId':'3d70fddf-fce1-4d94-8e00-2db65c1a52c4','Col':6,'Row':49,'Format':'numberic','Value':'68716915417','TargetCode':''}</v>
      </c>
    </row>
    <row r="343" spans="1:1" x14ac:dyDescent="0.2">
      <c r="A343" t="str">
        <f>CONCATENATE("{'SheetId':'574af409-ffc2-40ee-a576-3816731bac61'",",","'UId':'99e45765-5314-4ead-b83c-f7e64f508b82'",",'Col':",COLUMN(BCDanhMucDauTu_06136!G49),",'Row':",ROW(BCDanhMucDauTu_06136!G49),",","'Format':'numberic'",",'Value':'",SUBSTITUTE(BCDanhMucDauTu_06136!G49,"'","\'"),"','TargetCode':''}")</f>
        <v>{'SheetId':'574af409-ffc2-40ee-a576-3816731bac61','UId':'99e45765-5314-4ead-b83c-f7e64f508b82','Col':7,'Row':49,'Format':'numberic','Value':'1','TargetCode':''}</v>
      </c>
    </row>
    <row r="344" spans="1:1" x14ac:dyDescent="0.2">
      <c r="A344" t="str">
        <f>CONCATENATE("{'SheetId':'3e581ecb-e1ed-4032-860d-3455498c25df'",",","'UId':'209c7f58-0de7-4fe8-b71e-6b0be73ac9a9'",",'Col':",COLUMN(BCHDVay_GDMuaBanLai!C3),",'Row':",ROW(BCHDVay_GDMuaBanLai!C3),",","'Format':'string'",",'Value':'",SUBSTITUTE(BCHDVay_GDMuaBanLai!C3,"'","\'"),"','TargetCode':''}")</f>
        <v>{'SheetId':'3e581ecb-e1ed-4032-860d-3455498c25df','UId':'209c7f58-0de7-4fe8-b71e-6b0be73ac9a9','Col':3,'Row':3,'Format':'string','Value':' ','TargetCode':''}</v>
      </c>
    </row>
    <row r="345" spans="1:1" x14ac:dyDescent="0.2">
      <c r="A345" t="str">
        <f>CONCATENATE("{'SheetId':'3e581ecb-e1ed-4032-860d-3455498c25df'",",","'UId':'9d94d185-f15d-491e-9b93-feea05897dec'",",'Col':",COLUMN(BCHDVay_GDMuaBanLai!D3),",'Row':",ROW(BCHDVay_GDMuaBanLai!D3),",","'Format':'string'",",'Value':'",SUBSTITUTE(BCHDVay_GDMuaBanLai!D3,"'","\'"),"','TargetCode':''}")</f>
        <v>{'SheetId':'3e581ecb-e1ed-4032-860d-3455498c25df','UId':'9d94d185-f15d-491e-9b93-feea05897dec','Col':4,'Row':3,'Format':'string','Value':' ','TargetCode':''}</v>
      </c>
    </row>
    <row r="346" spans="1:1" x14ac:dyDescent="0.2">
      <c r="A346" t="str">
        <f>CONCATENATE("{'SheetId':'3e581ecb-e1ed-4032-860d-3455498c25df'",",","'UId':'20922477-f192-4028-8017-4e60508e6edc'",",'Col':",COLUMN(BCHDVay_GDMuaBanLai!E3),",'Row':",ROW(BCHDVay_GDMuaBanLai!E3),",","'Format':'string'",",'Value':'",SUBSTITUTE(BCHDVay_GDMuaBanLai!E3,"'","\'"),"','TargetCode':''}")</f>
        <v>{'SheetId':'3e581ecb-e1ed-4032-860d-3455498c25df','UId':'20922477-f192-4028-8017-4e60508e6edc','Col':5,'Row':3,'Format':'string','Value':' ','TargetCode':''}</v>
      </c>
    </row>
    <row r="347" spans="1:1" x14ac:dyDescent="0.2">
      <c r="A347" t="str">
        <f>CONCATENATE("{'SheetId':'3e581ecb-e1ed-4032-860d-3455498c25df'",",","'UId':'86c3ecd0-8c2d-4804-8d2e-67d5bf69e05a'",",'Col':",COLUMN(BCHDVay_GDMuaBanLai!F3),",'Row':",ROW(BCHDVay_GDMuaBanLai!F3),",","'Format':'numberic'",",'Value':'",SUBSTITUTE(BCHDVay_GDMuaBanLai!F3,"'","\'"),"','TargetCode':''}")</f>
        <v>{'SheetId':'3e581ecb-e1ed-4032-860d-3455498c25df','UId':'86c3ecd0-8c2d-4804-8d2e-67d5bf69e05a','Col':6,'Row':3,'Format':'numberic','Value':' ','TargetCode':''}</v>
      </c>
    </row>
    <row r="348" spans="1:1" x14ac:dyDescent="0.2">
      <c r="A348" t="str">
        <f>CONCATENATE("{'SheetId':'3e581ecb-e1ed-4032-860d-3455498c25df'",",","'UId':'4d47c6a3-e300-4726-9321-cb005cf465d2'",",'Col':",COLUMN(BCHDVay_GDMuaBanLai!G3),",'Row':",ROW(BCHDVay_GDMuaBanLai!G3),",","'Format':'string'",",'Value':'",SUBSTITUTE(BCHDVay_GDMuaBanLai!G3,"'","\'"),"','TargetCode':''}")</f>
        <v>{'SheetId':'3e581ecb-e1ed-4032-860d-3455498c25df','UId':'4d47c6a3-e300-4726-9321-cb005cf465d2','Col':7,'Row':3,'Format':'string','Value':' ','TargetCode':''}</v>
      </c>
    </row>
    <row r="349" spans="1:1" x14ac:dyDescent="0.2">
      <c r="A349" t="str">
        <f>CONCATENATE("{'SheetId':'3e581ecb-e1ed-4032-860d-3455498c25df'",",","'UId':'4dda3177-e6e6-46b2-a357-08c576739183'",",'Col':",COLUMN(BCHDVay_GDMuaBanLai!H3),",'Row':",ROW(BCHDVay_GDMuaBanLai!H3),",","'Format':'numberic'",",'Value':'",SUBSTITUTE(BCHDVay_GDMuaBanLai!H3,"'","\'"),"','TargetCode':''}")</f>
        <v>{'SheetId':'3e581ecb-e1ed-4032-860d-3455498c25df','UId':'4dda3177-e6e6-46b2-a357-08c576739183','Col':8,'Row':3,'Format':'numberic','Value':' ','TargetCode':''}</v>
      </c>
    </row>
    <row r="350" spans="1:1" x14ac:dyDescent="0.2">
      <c r="A350" t="str">
        <f>CONCATENATE("{'SheetId':'3e581ecb-e1ed-4032-860d-3455498c25df'",",","'UId':'e39e3267-1a65-458e-aeec-c779d08bdc40'",",'Col':",COLUMN(BCHDVay_GDMuaBanLai!I3),",'Row':",ROW(BCHDVay_GDMuaBanLai!I3),",","'Format':'string'",",'Value':'",SUBSTITUTE(BCHDVay_GDMuaBanLai!I3,"'","\'"),"','TargetCode':''}")</f>
        <v>{'SheetId':'3e581ecb-e1ed-4032-860d-3455498c25df','UId':'e39e3267-1a65-458e-aeec-c779d08bdc40','Col':9,'Row':3,'Format':'string','Value':' ','TargetCode':''}</v>
      </c>
    </row>
    <row r="351" spans="1:1" x14ac:dyDescent="0.2">
      <c r="A351" t="str">
        <f>CONCATENATE("{'SheetId':'3e581ecb-e1ed-4032-860d-3455498c25df'",",","'UId':'c299c214-bfe7-4a46-9cb2-a837195050ab'",",'Col':",COLUMN(BCHDVay_GDMuaBanLai!J3),",'Row':",ROW(BCHDVay_GDMuaBanLai!J3),",","'Format':'numberic'",",'Value':'",SUBSTITUTE(BCHDVay_GDMuaBanLai!J3,"'","\'"),"','TargetCode':''}")</f>
        <v>{'SheetId':'3e581ecb-e1ed-4032-860d-3455498c25df','UId':'c299c214-bfe7-4a46-9cb2-a837195050ab','Col':10,'Row':3,'Format':'numberic','Value':' ','TargetCode':''}</v>
      </c>
    </row>
    <row r="352" spans="1:1" x14ac:dyDescent="0.2">
      <c r="A352" t="str">
        <f>CONCATENATE("{'SheetId':'3e581ecb-e1ed-4032-860d-3455498c25df'",",","'UId':'d1e6f4d0-4b24-4ed8-9b92-fa30f7074635'",",'Col':",COLUMN(BCHDVay_GDMuaBanLai!A5),",'Row':",ROW(BCHDVay_GDMuaBanLai!A5),",","'ColDynamic':",COLUMN(BCHDVay_GDMuaBanLai!A4),",","'RowDynamic':",ROW(BCHDVay_GDMuaBanLai!A4),",","'Format':'string'",",'Value':'",SUBSTITUTE(BCHDVay_GDMuaBanLai!A5,"'","\'"),"','TargetCode':''}")</f>
        <v>{'SheetId':'3e581ecb-e1ed-4032-860d-3455498c25df','UId':'d1e6f4d0-4b24-4ed8-9b92-fa30f7074635','Col':1,'Row':5,'ColDynamic':1,'RowDynamic':4,'Format':'string','Value':'','TargetCode':''}</v>
      </c>
    </row>
    <row r="353" spans="1:1" x14ac:dyDescent="0.2">
      <c r="A353" t="str">
        <f>CONCATENATE("{'SheetId':'3e581ecb-e1ed-4032-860d-3455498c25df'",",","'UId':'7e86ecfb-700d-4fc6-8b19-7a854de003d5'",",'Col':",COLUMN(BCHDVay_GDMuaBanLai!B5),",'Row':",ROW(BCHDVay_GDMuaBanLai!B5),",","'ColDynamic':",COLUMN(BCHDVay_GDMuaBanLai!B4),",","'RowDynamic':",ROW(BCHDVay_GDMuaBanLai!B4),",","'Format':'string'",",'Value':'",SUBSTITUTE(BCHDVay_GDMuaBanLai!B5,"'","\'"),"','TargetCode':''}")</f>
        <v>{'SheetId':'3e581ecb-e1ed-4032-860d-3455498c25df','UId':'7e86ecfb-700d-4fc6-8b19-7a854de003d5','Col':2,'Row':5,'ColDynamic':2,'RowDynamic':4,'Format':'string','Value':'','TargetCode':''}</v>
      </c>
    </row>
    <row r="354" spans="1:1" x14ac:dyDescent="0.2">
      <c r="A354" t="str">
        <f>CONCATENATE("{'SheetId':'3e581ecb-e1ed-4032-860d-3455498c25df'",",","'UId':'0dd2c981-2c1e-4a2d-8369-c7f86f1b87ea'",",'Col':",COLUMN(BCHDVay_GDMuaBanLai!C5),",'Row':",ROW(BCHDVay_GDMuaBanLai!C5),",","'ColDynamic':",COLUMN(BCHDVay_GDMuaBanLai!C4),",","'RowDynamic':",ROW(BCHDVay_GDMuaBanLai!C4),",","'Format':'string'",",'Value':'",SUBSTITUTE(BCHDVay_GDMuaBanLai!C5,"'","\'"),"','TargetCode':''}")</f>
        <v>{'SheetId':'3e581ecb-e1ed-4032-860d-3455498c25df','UId':'0dd2c981-2c1e-4a2d-8369-c7f86f1b87ea','Col':3,'Row':5,'ColDynamic':3,'RowDynamic':4,'Format':'string','Value':' ','TargetCode':''}</v>
      </c>
    </row>
    <row r="355" spans="1:1" x14ac:dyDescent="0.2">
      <c r="A355" t="str">
        <f>CONCATENATE("{'SheetId':'3e581ecb-e1ed-4032-860d-3455498c25df'",",","'UId':'ed307a68-f526-4ed5-8c38-0e73756d3e48'",",'Col':",COLUMN(BCHDVay_GDMuaBanLai!D5),",'Row':",ROW(BCHDVay_GDMuaBanLai!D5),",","'ColDynamic':",COLUMN(BCHDVay_GDMuaBanLai!D4),",","'RowDynamic':",ROW(BCHDVay_GDMuaBanLai!D4),",","'Format':'string'",",'Value':'",SUBSTITUTE(BCHDVay_GDMuaBanLai!D5,"'","\'"),"','TargetCode':''}")</f>
        <v>{'SheetId':'3e581ecb-e1ed-4032-860d-3455498c25df','UId':'ed307a68-f526-4ed5-8c38-0e73756d3e48','Col':4,'Row':5,'ColDynamic':4,'RowDynamic':4,'Format':'string','Value':' ','TargetCode':''}</v>
      </c>
    </row>
    <row r="356" spans="1:1" x14ac:dyDescent="0.2">
      <c r="A356" t="str">
        <f>CONCATENATE("{'SheetId':'3e581ecb-e1ed-4032-860d-3455498c25df'",",","'UId':'ee51c339-4f75-4862-be0a-42dc6da0586e'",",'Col':",COLUMN(BCHDVay_GDMuaBanLai!E5),",'Row':",ROW(BCHDVay_GDMuaBanLai!E5),",","'ColDynamic':",COLUMN(BCHDVay_GDMuaBanLai!E4),",","'RowDynamic':",ROW(BCHDVay_GDMuaBanLai!E4),",","'Format':'string'",",'Value':'",SUBSTITUTE(BCHDVay_GDMuaBanLai!E5,"'","\'"),"','TargetCode':''}")</f>
        <v>{'SheetId':'3e581ecb-e1ed-4032-860d-3455498c25df','UId':'ee51c339-4f75-4862-be0a-42dc6da0586e','Col':5,'Row':5,'ColDynamic':5,'RowDynamic':4,'Format':'string','Value':' ','TargetCode':''}</v>
      </c>
    </row>
    <row r="357" spans="1:1" x14ac:dyDescent="0.2">
      <c r="A357" t="str">
        <f>CONCATENATE("{'SheetId':'3e581ecb-e1ed-4032-860d-3455498c25df'",",","'UId':'a794bb87-e54d-4468-a44b-cb540d8af233'",",'Col':",COLUMN(BCHDVay_GDMuaBanLai!F5),",'Row':",ROW(BCHDVay_GDMuaBanLai!F5),",","'ColDynamic':",COLUMN(BCHDVay_GDMuaBanLai!F4),",","'RowDynamic':",ROW(BCHDVay_GDMuaBanLai!F4),",","'Format':'numberic'",",'Value':'",SUBSTITUTE(BCHDVay_GDMuaBanLai!F5,"'","\'"),"','TargetCode':''}")</f>
        <v>{'SheetId':'3e581ecb-e1ed-4032-860d-3455498c25df','UId':'a794bb87-e54d-4468-a44b-cb540d8af233','Col':6,'Row':5,'ColDynamic':6,'RowDynamic':4,'Format':'numberic','Value':' ','TargetCode':''}</v>
      </c>
    </row>
    <row r="358" spans="1:1" x14ac:dyDescent="0.2">
      <c r="A358" t="str">
        <f>CONCATENATE("{'SheetId':'3e581ecb-e1ed-4032-860d-3455498c25df'",",","'UId':'6796be47-d982-4063-89c7-5024c8cd24b5'",",'Col':",COLUMN(BCHDVay_GDMuaBanLai!G5),",'Row':",ROW(BCHDVay_GDMuaBanLai!G5),",","'ColDynamic':",COLUMN(BCHDVay_GDMuaBanLai!G4),",","'RowDynamic':",ROW(BCHDVay_GDMuaBanLai!G4),",","'Format':'string'",",'Value':'",SUBSTITUTE(BCHDVay_GDMuaBanLai!G5,"'","\'"),"','TargetCode':''}")</f>
        <v>{'SheetId':'3e581ecb-e1ed-4032-860d-3455498c25df','UId':'6796be47-d982-4063-89c7-5024c8cd24b5','Col':7,'Row':5,'ColDynamic':7,'RowDynamic':4,'Format':'string','Value':' ','TargetCode':''}</v>
      </c>
    </row>
    <row r="359" spans="1:1" x14ac:dyDescent="0.2">
      <c r="A359" t="str">
        <f>CONCATENATE("{'SheetId':'3e581ecb-e1ed-4032-860d-3455498c25df'",",","'UId':'da479c11-775f-48ea-a4df-f2c672164a57'",",'Col':",COLUMN(BCHDVay_GDMuaBanLai!H5),",'Row':",ROW(BCHDVay_GDMuaBanLai!H5),",","'ColDynamic':",COLUMN(BCHDVay_GDMuaBanLai!H4),",","'RowDynamic':",ROW(BCHDVay_GDMuaBanLai!H4),",","'Format':'numberic'",",'Value':'",SUBSTITUTE(BCHDVay_GDMuaBanLai!H5,"'","\'"),"','TargetCode':''}")</f>
        <v>{'SheetId':'3e581ecb-e1ed-4032-860d-3455498c25df','UId':'da479c11-775f-48ea-a4df-f2c672164a57','Col':8,'Row':5,'ColDynamic':8,'RowDynamic':4,'Format':'numberic','Value':' ','TargetCode':''}</v>
      </c>
    </row>
    <row r="360" spans="1:1" x14ac:dyDescent="0.2">
      <c r="A360" t="str">
        <f>CONCATENATE("{'SheetId':'3e581ecb-e1ed-4032-860d-3455498c25df'",",","'UId':'b0de92d3-9f65-441d-9dbb-a57d4d109b29'",",'Col':",COLUMN(BCHDVay_GDMuaBanLai!I5),",'Row':",ROW(BCHDVay_GDMuaBanLai!I5),",","'ColDynamic':",COLUMN(BCHDVay_GDMuaBanLai!I4),",","'RowDynamic':",ROW(BCHDVay_GDMuaBanLai!I4),",","'Format':'string'",",'Value':'",SUBSTITUTE(BCHDVay_GDMuaBanLai!I5,"'","\'"),"','TargetCode':''}")</f>
        <v>{'SheetId':'3e581ecb-e1ed-4032-860d-3455498c25df','UId':'b0de92d3-9f65-441d-9dbb-a57d4d109b29','Col':9,'Row':5,'ColDynamic':9,'RowDynamic':4,'Format':'string','Value':' ','TargetCode':''}</v>
      </c>
    </row>
    <row r="361" spans="1:1" x14ac:dyDescent="0.2">
      <c r="A361" t="str">
        <f>CONCATENATE("{'SheetId':'3e581ecb-e1ed-4032-860d-3455498c25df'",",","'UId':'a3c7d9db-72ec-4fd1-8243-748cafcee341'",",'Col':",COLUMN(BCHDVay_GDMuaBanLai!J5),",'Row':",ROW(BCHDVay_GDMuaBanLai!J5),",","'ColDynamic':",COLUMN(BCHDVay_GDMuaBanLai!J4),",","'RowDynamic':",ROW(BCHDVay_GDMuaBanLai!J4),",","'Format':'numberic'",",'Value':'",SUBSTITUTE(BCHDVay_GDMuaBanLai!J5,"'","\'"),"','TargetCode':''}")</f>
        <v>{'SheetId':'3e581ecb-e1ed-4032-860d-3455498c25df','UId':'a3c7d9db-72ec-4fd1-8243-748cafcee341','Col':10,'Row':5,'ColDynamic':10,'RowDynamic':4,'Format':'numberic','Value':' ','TargetCode':''}</v>
      </c>
    </row>
    <row r="362" spans="1:1" x14ac:dyDescent="0.2">
      <c r="A362" t="str">
        <f>CONCATENATE("{'SheetId':'3e581ecb-e1ed-4032-860d-3455498c25df'",",","'UId':'e7e68615-09c9-4b78-b3c3-a063f6e2ca26'",",'Col':",COLUMN(BCHDVay_GDMuaBanLai!C6),",'Row':",ROW(BCHDVay_GDMuaBanLai!C6),",","'Format':'string'",",'Value':'",SUBSTITUTE(BCHDVay_GDMuaBanLai!C6,"'","\'"),"','TargetCode':''}")</f>
        <v>{'SheetId':'3e581ecb-e1ed-4032-860d-3455498c25df','UId':'e7e68615-09c9-4b78-b3c3-a063f6e2ca26','Col':3,'Row':6,'Format':'string','Value':' ','TargetCode':''}</v>
      </c>
    </row>
    <row r="363" spans="1:1" x14ac:dyDescent="0.2">
      <c r="A363" t="str">
        <f>CONCATENATE("{'SheetId':'3e581ecb-e1ed-4032-860d-3455498c25df'",",","'UId':'893157da-3640-408c-a3c1-3aadd5f94c95'",",'Col':",COLUMN(BCHDVay_GDMuaBanLai!D6),",'Row':",ROW(BCHDVay_GDMuaBanLai!D6),",","'Format':'string'",",'Value':'",SUBSTITUTE(BCHDVay_GDMuaBanLai!D6,"'","\'"),"','TargetCode':''}")</f>
        <v>{'SheetId':'3e581ecb-e1ed-4032-860d-3455498c25df','UId':'893157da-3640-408c-a3c1-3aadd5f94c95','Col':4,'Row':6,'Format':'string','Value':' ','TargetCode':''}</v>
      </c>
    </row>
    <row r="364" spans="1:1" x14ac:dyDescent="0.2">
      <c r="A364" t="str">
        <f>CONCATENATE("{'SheetId':'3e581ecb-e1ed-4032-860d-3455498c25df'",",","'UId':'025fa727-de0c-4b00-8aad-921e766f20e1'",",'Col':",COLUMN(BCHDVay_GDMuaBanLai!E6),",'Row':",ROW(BCHDVay_GDMuaBanLai!E6),",","'Format':'string'",",'Value':'",SUBSTITUTE(BCHDVay_GDMuaBanLai!E6,"'","\'"),"','TargetCode':''}")</f>
        <v>{'SheetId':'3e581ecb-e1ed-4032-860d-3455498c25df','UId':'025fa727-de0c-4b00-8aad-921e766f20e1','Col':5,'Row':6,'Format':'string','Value':' ','TargetCode':''}</v>
      </c>
    </row>
    <row r="365" spans="1:1" x14ac:dyDescent="0.2">
      <c r="A365" t="str">
        <f>CONCATENATE("{'SheetId':'3e581ecb-e1ed-4032-860d-3455498c25df'",",","'UId':'d9f7615d-c199-4238-a10e-a3da2dbb5962'",",'Col':",COLUMN(BCHDVay_GDMuaBanLai!F6),",'Row':",ROW(BCHDVay_GDMuaBanLai!F6),",","'Format':'numberic'",",'Value':'",SUBSTITUTE(BCHDVay_GDMuaBanLai!F6,"'","\'"),"','TargetCode':''}")</f>
        <v>{'SheetId':'3e581ecb-e1ed-4032-860d-3455498c25df','UId':'d9f7615d-c199-4238-a10e-a3da2dbb5962','Col':6,'Row':6,'Format':'numberic','Value':' ','TargetCode':''}</v>
      </c>
    </row>
    <row r="366" spans="1:1" x14ac:dyDescent="0.2">
      <c r="A366" t="str">
        <f>CONCATENATE("{'SheetId':'3e581ecb-e1ed-4032-860d-3455498c25df'",",","'UId':'2eef7e91-01c3-4ef8-ad15-af5177f5fb73'",",'Col':",COLUMN(BCHDVay_GDMuaBanLai!G6),",'Row':",ROW(BCHDVay_GDMuaBanLai!G6),",","'Format':'string'",",'Value':'",SUBSTITUTE(BCHDVay_GDMuaBanLai!G6,"'","\'"),"','TargetCode':''}")</f>
        <v>{'SheetId':'3e581ecb-e1ed-4032-860d-3455498c25df','UId':'2eef7e91-01c3-4ef8-ad15-af5177f5fb73','Col':7,'Row':6,'Format':'string','Value':' ','TargetCode':''}</v>
      </c>
    </row>
    <row r="367" spans="1:1" x14ac:dyDescent="0.2">
      <c r="A367" t="str">
        <f>CONCATENATE("{'SheetId':'3e581ecb-e1ed-4032-860d-3455498c25df'",",","'UId':'8cad5088-a974-41aa-8db8-110ae26b71dd'",",'Col':",COLUMN(BCHDVay_GDMuaBanLai!H6),",'Row':",ROW(BCHDVay_GDMuaBanLai!H6),",","'Format':'numberic'",",'Value':'",SUBSTITUTE(BCHDVay_GDMuaBanLai!H6,"'","\'"),"','TargetCode':''}")</f>
        <v>{'SheetId':'3e581ecb-e1ed-4032-860d-3455498c25df','UId':'8cad5088-a974-41aa-8db8-110ae26b71dd','Col':8,'Row':6,'Format':'numberic','Value':' ','TargetCode':''}</v>
      </c>
    </row>
    <row r="368" spans="1:1" x14ac:dyDescent="0.2">
      <c r="A368" t="str">
        <f>CONCATENATE("{'SheetId':'3e581ecb-e1ed-4032-860d-3455498c25df'",",","'UId':'727bc0d3-9dbd-496f-bf90-2002eef85734'",",'Col':",COLUMN(BCHDVay_GDMuaBanLai!I6),",'Row':",ROW(BCHDVay_GDMuaBanLai!I6),",","'Format':'string'",",'Value':'",SUBSTITUTE(BCHDVay_GDMuaBanLai!I6,"'","\'"),"','TargetCode':''}")</f>
        <v>{'SheetId':'3e581ecb-e1ed-4032-860d-3455498c25df','UId':'727bc0d3-9dbd-496f-bf90-2002eef85734','Col':9,'Row':6,'Format':'string','Value':' ','TargetCode':''}</v>
      </c>
    </row>
    <row r="369" spans="1:1" x14ac:dyDescent="0.2">
      <c r="A369" t="str">
        <f>CONCATENATE("{'SheetId':'3e581ecb-e1ed-4032-860d-3455498c25df'",",","'UId':'6ce62296-ce00-4875-abf9-4df634030fed'",",'Col':",COLUMN(BCHDVay_GDMuaBanLai!J6),",'Row':",ROW(BCHDVay_GDMuaBanLai!J6),",","'Format':'numberic'",",'Value':'",SUBSTITUTE(BCHDVay_GDMuaBanLai!J6,"'","\'"),"','TargetCode':''}")</f>
        <v>{'SheetId':'3e581ecb-e1ed-4032-860d-3455498c25df','UId':'6ce62296-ce00-4875-abf9-4df634030fed','Col':10,'Row':6,'Format':'numberic','Value':' ','TargetCode':''}</v>
      </c>
    </row>
    <row r="370" spans="1:1" x14ac:dyDescent="0.2">
      <c r="A370" t="str">
        <f>CONCATENATE("{'SheetId':'3e581ecb-e1ed-4032-860d-3455498c25df'",",","'UId':'2cd1574d-1aeb-46e9-bc9d-d5752aba0924'",",'Col':",COLUMN(BCHDVay_GDMuaBanLai!C7),",'Row':",ROW(BCHDVay_GDMuaBanLai!C7),",","'Format':'string'",",'Value':'",SUBSTITUTE(BCHDVay_GDMuaBanLai!C7,"'","\'"),"','TargetCode':''}")</f>
        <v>{'SheetId':'3e581ecb-e1ed-4032-860d-3455498c25df','UId':'2cd1574d-1aeb-46e9-bc9d-d5752aba0924','Col':3,'Row':7,'Format':'string','Value':' ','TargetCode':''}</v>
      </c>
    </row>
    <row r="371" spans="1:1" x14ac:dyDescent="0.2">
      <c r="A371" t="str">
        <f>CONCATENATE("{'SheetId':'3e581ecb-e1ed-4032-860d-3455498c25df'",",","'UId':'ac9caf63-4cf0-4245-a543-161fe402bd8a'",",'Col':",COLUMN(BCHDVay_GDMuaBanLai!D7),",'Row':",ROW(BCHDVay_GDMuaBanLai!D7),",","'Format':'string'",",'Value':'",SUBSTITUTE(BCHDVay_GDMuaBanLai!D7,"'","\'"),"','TargetCode':''}")</f>
        <v>{'SheetId':'3e581ecb-e1ed-4032-860d-3455498c25df','UId':'ac9caf63-4cf0-4245-a543-161fe402bd8a','Col':4,'Row':7,'Format':'string','Value':' ','TargetCode':''}</v>
      </c>
    </row>
    <row r="372" spans="1:1" x14ac:dyDescent="0.2">
      <c r="A372" t="str">
        <f>CONCATENATE("{'SheetId':'3e581ecb-e1ed-4032-860d-3455498c25df'",",","'UId':'a1281591-13aa-4f6d-ace1-ccd99a49d414'",",'Col':",COLUMN(BCHDVay_GDMuaBanLai!E7),",'Row':",ROW(BCHDVay_GDMuaBanLai!E7),",","'Format':'string'",",'Value':'",SUBSTITUTE(BCHDVay_GDMuaBanLai!E7,"'","\'"),"','TargetCode':''}")</f>
        <v>{'SheetId':'3e581ecb-e1ed-4032-860d-3455498c25df','UId':'a1281591-13aa-4f6d-ace1-ccd99a49d414','Col':5,'Row':7,'Format':'string','Value':' ','TargetCode':''}</v>
      </c>
    </row>
    <row r="373" spans="1:1" x14ac:dyDescent="0.2">
      <c r="A373" t="str">
        <f>CONCATENATE("{'SheetId':'3e581ecb-e1ed-4032-860d-3455498c25df'",",","'UId':'5b59d87e-b43f-4c30-ae35-7396cf4e6a55'",",'Col':",COLUMN(BCHDVay_GDMuaBanLai!F7),",'Row':",ROW(BCHDVay_GDMuaBanLai!F7),",","'Format':'numberic'",",'Value':'",SUBSTITUTE(BCHDVay_GDMuaBanLai!F7,"'","\'"),"','TargetCode':''}")</f>
        <v>{'SheetId':'3e581ecb-e1ed-4032-860d-3455498c25df','UId':'5b59d87e-b43f-4c30-ae35-7396cf4e6a55','Col':6,'Row':7,'Format':'numberic','Value':' ','TargetCode':''}</v>
      </c>
    </row>
    <row r="374" spans="1:1" x14ac:dyDescent="0.2">
      <c r="A374" t="str">
        <f>CONCATENATE("{'SheetId':'3e581ecb-e1ed-4032-860d-3455498c25df'",",","'UId':'f0dccae8-4a61-4e38-95a4-2741e3f57604'",",'Col':",COLUMN(BCHDVay_GDMuaBanLai!G7),",'Row':",ROW(BCHDVay_GDMuaBanLai!G7),",","'Format':'string'",",'Value':'",SUBSTITUTE(BCHDVay_GDMuaBanLai!G7,"'","\'"),"','TargetCode':''}")</f>
        <v>{'SheetId':'3e581ecb-e1ed-4032-860d-3455498c25df','UId':'f0dccae8-4a61-4e38-95a4-2741e3f57604','Col':7,'Row':7,'Format':'string','Value':' ','TargetCode':''}</v>
      </c>
    </row>
    <row r="375" spans="1:1" x14ac:dyDescent="0.2">
      <c r="A375" t="str">
        <f>CONCATENATE("{'SheetId':'3e581ecb-e1ed-4032-860d-3455498c25df'",",","'UId':'61ee7087-c205-48e7-9766-0adb3cfc9c11'",",'Col':",COLUMN(BCHDVay_GDMuaBanLai!H7),",'Row':",ROW(BCHDVay_GDMuaBanLai!H7),",","'Format':'numberic'",",'Value':'",SUBSTITUTE(BCHDVay_GDMuaBanLai!H7,"'","\'"),"','TargetCode':''}")</f>
        <v>{'SheetId':'3e581ecb-e1ed-4032-860d-3455498c25df','UId':'61ee7087-c205-48e7-9766-0adb3cfc9c11','Col':8,'Row':7,'Format':'numberic','Value':' ','TargetCode':''}</v>
      </c>
    </row>
    <row r="376" spans="1:1" x14ac:dyDescent="0.2">
      <c r="A376" t="str">
        <f>CONCATENATE("{'SheetId':'3e581ecb-e1ed-4032-860d-3455498c25df'",",","'UId':'7f0b3210-0f81-40d4-b361-8f3ade328c28'",",'Col':",COLUMN(BCHDVay_GDMuaBanLai!I7),",'Row':",ROW(BCHDVay_GDMuaBanLai!I7),",","'Format':'string'",",'Value':'",SUBSTITUTE(BCHDVay_GDMuaBanLai!I7,"'","\'"),"','TargetCode':''}")</f>
        <v>{'SheetId':'3e581ecb-e1ed-4032-860d-3455498c25df','UId':'7f0b3210-0f81-40d4-b361-8f3ade328c28','Col':9,'Row':7,'Format':'string','Value':' ','TargetCode':''}</v>
      </c>
    </row>
    <row r="377" spans="1:1" x14ac:dyDescent="0.2">
      <c r="A377" t="str">
        <f>CONCATENATE("{'SheetId':'3e581ecb-e1ed-4032-860d-3455498c25df'",",","'UId':'0bce3311-dcf9-46f1-8dd2-9b6ef796258a'",",'Col':",COLUMN(BCHDVay_GDMuaBanLai!J7),",'Row':",ROW(BCHDVay_GDMuaBanLai!J7),",","'Format':'numberic'",",'Value':'",SUBSTITUTE(BCHDVay_GDMuaBanLai!J7,"'","\'"),"','TargetCode':''}")</f>
        <v>{'SheetId':'3e581ecb-e1ed-4032-860d-3455498c25df','UId':'0bce3311-dcf9-46f1-8dd2-9b6ef796258a','Col':10,'Row':7,'Format':'numberic','Value':' ','TargetCode':''}</v>
      </c>
    </row>
    <row r="378" spans="1:1" x14ac:dyDescent="0.2">
      <c r="A378" t="str">
        <f>CONCATENATE("{'SheetId':'3e581ecb-e1ed-4032-860d-3455498c25df'",",","'UId':'8a310bf2-8288-4b45-80c6-d6f778f5cf0f'",",'Col':",COLUMN(BCHDVay_GDMuaBanLai!A9),",'Row':",ROW(BCHDVay_GDMuaBanLai!A9),",","'ColDynamic':",COLUMN(BCHDVay_GDMuaBanLai!A8),",","'RowDynamic':",ROW(BCHDVay_GDMuaBanLai!A8),",","'Format':'string'",",'Value':'",SUBSTITUTE(BCHDVay_GDMuaBanLai!A9,"'","\'"),"','TargetCode':''}")</f>
        <v>{'SheetId':'3e581ecb-e1ed-4032-860d-3455498c25df','UId':'8a310bf2-8288-4b45-80c6-d6f778f5cf0f','Col':1,'Row':9,'ColDynamic':1,'RowDynamic':8,'Format':'string','Value':'','TargetCode':''}</v>
      </c>
    </row>
    <row r="379" spans="1:1" x14ac:dyDescent="0.2">
      <c r="A379" t="str">
        <f>CONCATENATE("{'SheetId':'3e581ecb-e1ed-4032-860d-3455498c25df'",",","'UId':'39d06d22-c656-4f4d-abcb-334f05dbd723'",",'Col':",COLUMN(BCHDVay_GDMuaBanLai!B9),",'Row':",ROW(BCHDVay_GDMuaBanLai!B9),",","'ColDynamic':",COLUMN(BCHDVay_GDMuaBanLai!B8),",","'RowDynamic':",ROW(BCHDVay_GDMuaBanLai!B8),",","'Format':'string'",",'Value':'",SUBSTITUTE(BCHDVay_GDMuaBanLai!B9,"'","\'"),"','TargetCode':''}")</f>
        <v>{'SheetId':'3e581ecb-e1ed-4032-860d-3455498c25df','UId':'39d06d22-c656-4f4d-abcb-334f05dbd723','Col':2,'Row':9,'ColDynamic':2,'RowDynamic':8,'Format':'string','Value':'','TargetCode':''}</v>
      </c>
    </row>
    <row r="380" spans="1:1" x14ac:dyDescent="0.2">
      <c r="A380" t="str">
        <f>CONCATENATE("{'SheetId':'3e581ecb-e1ed-4032-860d-3455498c25df'",",","'UId':'2b3546ca-1970-4602-b00d-73892b449f63'",",'Col':",COLUMN(BCHDVay_GDMuaBanLai!C9),",'Row':",ROW(BCHDVay_GDMuaBanLai!C9),",","'ColDynamic':",COLUMN(BCHDVay_GDMuaBanLai!C8),",","'RowDynamic':",ROW(BCHDVay_GDMuaBanLai!C8),",","'Format':'string'",",'Value':'",SUBSTITUTE(BCHDVay_GDMuaBanLai!C9,"'","\'"),"','TargetCode':''}")</f>
        <v>{'SheetId':'3e581ecb-e1ed-4032-860d-3455498c25df','UId':'2b3546ca-1970-4602-b00d-73892b449f63','Col':3,'Row':9,'ColDynamic':3,'RowDynamic':8,'Format':'string','Value':' ','TargetCode':''}</v>
      </c>
    </row>
    <row r="381" spans="1:1" x14ac:dyDescent="0.2">
      <c r="A381" t="str">
        <f>CONCATENATE("{'SheetId':'3e581ecb-e1ed-4032-860d-3455498c25df'",",","'UId':'6ddb2efd-9320-47ff-869a-d0e411975f41'",",'Col':",COLUMN(BCHDVay_GDMuaBanLai!D9),",'Row':",ROW(BCHDVay_GDMuaBanLai!D9),",","'ColDynamic':",COLUMN(BCHDVay_GDMuaBanLai!D8),",","'RowDynamic':",ROW(BCHDVay_GDMuaBanLai!D8),",","'Format':'string'",",'Value':'",SUBSTITUTE(BCHDVay_GDMuaBanLai!D9,"'","\'"),"','TargetCode':''}")</f>
        <v>{'SheetId':'3e581ecb-e1ed-4032-860d-3455498c25df','UId':'6ddb2efd-9320-47ff-869a-d0e411975f41','Col':4,'Row':9,'ColDynamic':4,'RowDynamic':8,'Format':'string','Value':' ','TargetCode':''}</v>
      </c>
    </row>
    <row r="382" spans="1:1" x14ac:dyDescent="0.2">
      <c r="A382" t="str">
        <f>CONCATENATE("{'SheetId':'3e581ecb-e1ed-4032-860d-3455498c25df'",",","'UId':'56684cb8-780c-4e63-bde1-3def54d91e16'",",'Col':",COLUMN(BCHDVay_GDMuaBanLai!E9),",'Row':",ROW(BCHDVay_GDMuaBanLai!E9),",","'ColDynamic':",COLUMN(BCHDVay_GDMuaBanLai!E8),",","'RowDynamic':",ROW(BCHDVay_GDMuaBanLai!E8),",","'Format':'string'",",'Value':'",SUBSTITUTE(BCHDVay_GDMuaBanLai!E9,"'","\'"),"','TargetCode':''}")</f>
        <v>{'SheetId':'3e581ecb-e1ed-4032-860d-3455498c25df','UId':'56684cb8-780c-4e63-bde1-3def54d91e16','Col':5,'Row':9,'ColDynamic':5,'RowDynamic':8,'Format':'string','Value':' ','TargetCode':''}</v>
      </c>
    </row>
    <row r="383" spans="1:1" x14ac:dyDescent="0.2">
      <c r="A383" t="str">
        <f>CONCATENATE("{'SheetId':'3e581ecb-e1ed-4032-860d-3455498c25df'",",","'UId':'79a5671f-c4d0-46db-bd7e-392f7e94d390'",",'Col':",COLUMN(BCHDVay_GDMuaBanLai!F9),",'Row':",ROW(BCHDVay_GDMuaBanLai!F9),",","'ColDynamic':",COLUMN(BCHDVay_GDMuaBanLai!F8),",","'RowDynamic':",ROW(BCHDVay_GDMuaBanLai!F8),",","'Format':'numberic'",",'Value':'",SUBSTITUTE(BCHDVay_GDMuaBanLai!F9,"'","\'"),"','TargetCode':''}")</f>
        <v>{'SheetId':'3e581ecb-e1ed-4032-860d-3455498c25df','UId':'79a5671f-c4d0-46db-bd7e-392f7e94d390','Col':6,'Row':9,'ColDynamic':6,'RowDynamic':8,'Format':'numberic','Value':' ','TargetCode':''}</v>
      </c>
    </row>
    <row r="384" spans="1:1" x14ac:dyDescent="0.2">
      <c r="A384" t="str">
        <f>CONCATENATE("{'SheetId':'3e581ecb-e1ed-4032-860d-3455498c25df'",",","'UId':'9f9fa04d-aba9-49fe-b216-cf1aea5ea1e4'",",'Col':",COLUMN(BCHDVay_GDMuaBanLai!G9),",'Row':",ROW(BCHDVay_GDMuaBanLai!G9),",","'ColDynamic':",COLUMN(BCHDVay_GDMuaBanLai!G8),",","'RowDynamic':",ROW(BCHDVay_GDMuaBanLai!G8),",","'Format':'string'",",'Value':'",SUBSTITUTE(BCHDVay_GDMuaBanLai!G9,"'","\'"),"','TargetCode':''}")</f>
        <v>{'SheetId':'3e581ecb-e1ed-4032-860d-3455498c25df','UId':'9f9fa04d-aba9-49fe-b216-cf1aea5ea1e4','Col':7,'Row':9,'ColDynamic':7,'RowDynamic':8,'Format':'string','Value':' ','TargetCode':''}</v>
      </c>
    </row>
    <row r="385" spans="1:1" x14ac:dyDescent="0.2">
      <c r="A385" t="str">
        <f>CONCATENATE("{'SheetId':'3e581ecb-e1ed-4032-860d-3455498c25df'",",","'UId':'4d8517dc-36af-4a76-a861-9ba703cd8581'",",'Col':",COLUMN(BCHDVay_GDMuaBanLai!H9),",'Row':",ROW(BCHDVay_GDMuaBanLai!H9),",","'ColDynamic':",COLUMN(BCHDVay_GDMuaBanLai!H8),",","'RowDynamic':",ROW(BCHDVay_GDMuaBanLai!H8),",","'Format':'numberic'",",'Value':'",SUBSTITUTE(BCHDVay_GDMuaBanLai!H9,"'","\'"),"','TargetCode':''}")</f>
        <v>{'SheetId':'3e581ecb-e1ed-4032-860d-3455498c25df','UId':'4d8517dc-36af-4a76-a861-9ba703cd8581','Col':8,'Row':9,'ColDynamic':8,'RowDynamic':8,'Format':'numberic','Value':' ','TargetCode':''}</v>
      </c>
    </row>
    <row r="386" spans="1:1" x14ac:dyDescent="0.2">
      <c r="A386" t="str">
        <f>CONCATENATE("{'SheetId':'3e581ecb-e1ed-4032-860d-3455498c25df'",",","'UId':'2127977c-73f8-46d4-8dab-654b345d5230'",",'Col':",COLUMN(BCHDVay_GDMuaBanLai!I9),",'Row':",ROW(BCHDVay_GDMuaBanLai!I9),",","'ColDynamic':",COLUMN(BCHDVay_GDMuaBanLai!I8),",","'RowDynamic':",ROW(BCHDVay_GDMuaBanLai!I8),",","'Format':'string'",",'Value':'",SUBSTITUTE(BCHDVay_GDMuaBanLai!I9,"'","\'"),"','TargetCode':''}")</f>
        <v>{'SheetId':'3e581ecb-e1ed-4032-860d-3455498c25df','UId':'2127977c-73f8-46d4-8dab-654b345d5230','Col':9,'Row':9,'ColDynamic':9,'RowDynamic':8,'Format':'string','Value':' ','TargetCode':''}</v>
      </c>
    </row>
    <row r="387" spans="1:1" x14ac:dyDescent="0.2">
      <c r="A387" t="str">
        <f>CONCATENATE("{'SheetId':'3e581ecb-e1ed-4032-860d-3455498c25df'",",","'UId':'1b634071-7827-44f8-966b-32d23c042803'",",'Col':",COLUMN(BCHDVay_GDMuaBanLai!J9),",'Row':",ROW(BCHDVay_GDMuaBanLai!J9),",","'ColDynamic':",COLUMN(BCHDVay_GDMuaBanLai!J8),",","'RowDynamic':",ROW(BCHDVay_GDMuaBanLai!J8),",","'Format':'numberic'",",'Value':'",SUBSTITUTE(BCHDVay_GDMuaBanLai!J9,"'","\'"),"','TargetCode':''}")</f>
        <v>{'SheetId':'3e581ecb-e1ed-4032-860d-3455498c25df','UId':'1b634071-7827-44f8-966b-32d23c042803','Col':10,'Row':9,'ColDynamic':10,'RowDynamic':8,'Format':'numberic','Value':' ','TargetCode':''}</v>
      </c>
    </row>
    <row r="388" spans="1:1" x14ac:dyDescent="0.2">
      <c r="A388" t="str">
        <f>CONCATENATE("{'SheetId':'3e581ecb-e1ed-4032-860d-3455498c25df'",",","'UId':'185a2ed2-1931-406b-92c9-e6169100bd70'",",'Col':",COLUMN(BCHDVay_GDMuaBanLai!C10),",'Row':",ROW(BCHDVay_GDMuaBanLai!C10),",","'Format':'string'",",'Value':'",SUBSTITUTE(BCHDVay_GDMuaBanLai!C10,"'","\'"),"','TargetCode':''}")</f>
        <v>{'SheetId':'3e581ecb-e1ed-4032-860d-3455498c25df','UId':'185a2ed2-1931-406b-92c9-e6169100bd70','Col':3,'Row':10,'Format':'string','Value':' ','TargetCode':''}</v>
      </c>
    </row>
    <row r="389" spans="1:1" x14ac:dyDescent="0.2">
      <c r="A389" t="str">
        <f>CONCATENATE("{'SheetId':'3e581ecb-e1ed-4032-860d-3455498c25df'",",","'UId':'f7ac910c-1965-4aef-b663-da9537f77fc7'",",'Col':",COLUMN(BCHDVay_GDMuaBanLai!D10),",'Row':",ROW(BCHDVay_GDMuaBanLai!D10),",","'Format':'string'",",'Value':'",SUBSTITUTE(BCHDVay_GDMuaBanLai!D10,"'","\'"),"','TargetCode':''}")</f>
        <v>{'SheetId':'3e581ecb-e1ed-4032-860d-3455498c25df','UId':'f7ac910c-1965-4aef-b663-da9537f77fc7','Col':4,'Row':10,'Format':'string','Value':' ','TargetCode':''}</v>
      </c>
    </row>
    <row r="390" spans="1:1" x14ac:dyDescent="0.2">
      <c r="A390" t="str">
        <f>CONCATENATE("{'SheetId':'3e581ecb-e1ed-4032-860d-3455498c25df'",",","'UId':'b6e1276b-db1c-4880-8f25-0ccf65de576f'",",'Col':",COLUMN(BCHDVay_GDMuaBanLai!E10),",'Row':",ROW(BCHDVay_GDMuaBanLai!E10),",","'Format':'string'",",'Value':'",SUBSTITUTE(BCHDVay_GDMuaBanLai!E10,"'","\'"),"','TargetCode':''}")</f>
        <v>{'SheetId':'3e581ecb-e1ed-4032-860d-3455498c25df','UId':'b6e1276b-db1c-4880-8f25-0ccf65de576f','Col':5,'Row':10,'Format':'string','Value':' ','TargetCode':''}</v>
      </c>
    </row>
    <row r="391" spans="1:1" x14ac:dyDescent="0.2">
      <c r="A391" t="str">
        <f>CONCATENATE("{'SheetId':'3e581ecb-e1ed-4032-860d-3455498c25df'",",","'UId':'4fefa11a-c436-49fb-a082-628542eada2e'",",'Col':",COLUMN(BCHDVay_GDMuaBanLai!F10),",'Row':",ROW(BCHDVay_GDMuaBanLai!F10),",","'Format':'numberic'",",'Value':'",SUBSTITUTE(BCHDVay_GDMuaBanLai!F10,"'","\'"),"','TargetCode':''}")</f>
        <v>{'SheetId':'3e581ecb-e1ed-4032-860d-3455498c25df','UId':'4fefa11a-c436-49fb-a082-628542eada2e','Col':6,'Row':10,'Format':'numberic','Value':' ','TargetCode':''}</v>
      </c>
    </row>
    <row r="392" spans="1:1" x14ac:dyDescent="0.2">
      <c r="A392" t="str">
        <f>CONCATENATE("{'SheetId':'3e581ecb-e1ed-4032-860d-3455498c25df'",",","'UId':'740e9866-f038-44c2-ad0a-316dd1e58191'",",'Col':",COLUMN(BCHDVay_GDMuaBanLai!G10),",'Row':",ROW(BCHDVay_GDMuaBanLai!G10),",","'Format':'string'",",'Value':'",SUBSTITUTE(BCHDVay_GDMuaBanLai!G10,"'","\'"),"','TargetCode':''}")</f>
        <v>{'SheetId':'3e581ecb-e1ed-4032-860d-3455498c25df','UId':'740e9866-f038-44c2-ad0a-316dd1e58191','Col':7,'Row':10,'Format':'string','Value':' ','TargetCode':''}</v>
      </c>
    </row>
    <row r="393" spans="1:1" x14ac:dyDescent="0.2">
      <c r="A393" t="str">
        <f>CONCATENATE("{'SheetId':'3e581ecb-e1ed-4032-860d-3455498c25df'",",","'UId':'87faa5eb-e0b0-450a-bea0-fa2cab54b2d7'",",'Col':",COLUMN(BCHDVay_GDMuaBanLai!H10),",'Row':",ROW(BCHDVay_GDMuaBanLai!H10),",","'Format':'numberic'",",'Value':'",SUBSTITUTE(BCHDVay_GDMuaBanLai!H10,"'","\'"),"','TargetCode':''}")</f>
        <v>{'SheetId':'3e581ecb-e1ed-4032-860d-3455498c25df','UId':'87faa5eb-e0b0-450a-bea0-fa2cab54b2d7','Col':8,'Row':10,'Format':'numberic','Value':' ','TargetCode':''}</v>
      </c>
    </row>
    <row r="394" spans="1:1" x14ac:dyDescent="0.2">
      <c r="A394" t="str">
        <f>CONCATENATE("{'SheetId':'3e581ecb-e1ed-4032-860d-3455498c25df'",",","'UId':'02fd0def-1c0a-42b4-ace0-763e04c0f17f'",",'Col':",COLUMN(BCHDVay_GDMuaBanLai!I10),",'Row':",ROW(BCHDVay_GDMuaBanLai!I10),",","'Format':'string'",",'Value':'",SUBSTITUTE(BCHDVay_GDMuaBanLai!I10,"'","\'"),"','TargetCode':''}")</f>
        <v>{'SheetId':'3e581ecb-e1ed-4032-860d-3455498c25df','UId':'02fd0def-1c0a-42b4-ace0-763e04c0f17f','Col':9,'Row':10,'Format':'string','Value':' ','TargetCode':''}</v>
      </c>
    </row>
    <row r="395" spans="1:1" x14ac:dyDescent="0.2">
      <c r="A395" t="str">
        <f>CONCATENATE("{'SheetId':'3e581ecb-e1ed-4032-860d-3455498c25df'",",","'UId':'112e9ad3-b3bb-40d8-b0af-8e13af1080cf'",",'Col':",COLUMN(BCHDVay_GDMuaBanLai!J10),",'Row':",ROW(BCHDVay_GDMuaBanLai!J10),",","'Format':'numberic'",",'Value':'",SUBSTITUTE(BCHDVay_GDMuaBanLai!J10,"'","\'"),"','TargetCode':''}")</f>
        <v>{'SheetId':'3e581ecb-e1ed-4032-860d-3455498c25df','UId':'112e9ad3-b3bb-40d8-b0af-8e13af1080cf','Col':10,'Row':10,'Format':'numberic','Value':' ','TargetCode':''}</v>
      </c>
    </row>
    <row r="396" spans="1:1" x14ac:dyDescent="0.2">
      <c r="A396" t="str">
        <f>CONCATENATE("{'SheetId':'3e581ecb-e1ed-4032-860d-3455498c25df'",",","'UId':'a8384029-b278-43db-8048-1166fbed9009'",",'Col':",COLUMN(BCHDVay_GDMuaBanLai!C11),",'Row':",ROW(BCHDVay_GDMuaBanLai!C11),",","'Format':'string'",",'Value':'",SUBSTITUTE(BCHDVay_GDMuaBanLai!C11,"'","\'"),"','TargetCode':''}")</f>
        <v>{'SheetId':'3e581ecb-e1ed-4032-860d-3455498c25df','UId':'a8384029-b278-43db-8048-1166fbed9009','Col':3,'Row':11,'Format':'string','Value':' ','TargetCode':''}</v>
      </c>
    </row>
    <row r="397" spans="1:1" x14ac:dyDescent="0.2">
      <c r="A397" t="str">
        <f>CONCATENATE("{'SheetId':'3e581ecb-e1ed-4032-860d-3455498c25df'",",","'UId':'d6548eae-0a50-4b28-b878-8ed9e293ef08'",",'Col':",COLUMN(BCHDVay_GDMuaBanLai!D11),",'Row':",ROW(BCHDVay_GDMuaBanLai!D11),",","'Format':'string'",",'Value':'",SUBSTITUTE(BCHDVay_GDMuaBanLai!D11,"'","\'"),"','TargetCode':''}")</f>
        <v>{'SheetId':'3e581ecb-e1ed-4032-860d-3455498c25df','UId':'d6548eae-0a50-4b28-b878-8ed9e293ef08','Col':4,'Row':11,'Format':'string','Value':' ','TargetCode':''}</v>
      </c>
    </row>
    <row r="398" spans="1:1" x14ac:dyDescent="0.2">
      <c r="A398" t="str">
        <f>CONCATENATE("{'SheetId':'3e581ecb-e1ed-4032-860d-3455498c25df'",",","'UId':'a096f02b-3e6f-4c86-92d7-93c5a01b08fe'",",'Col':",COLUMN(BCHDVay_GDMuaBanLai!E11),",'Row':",ROW(BCHDVay_GDMuaBanLai!E11),",","'Format':'string'",",'Value':'",SUBSTITUTE(BCHDVay_GDMuaBanLai!E11,"'","\'"),"','TargetCode':''}")</f>
        <v>{'SheetId':'3e581ecb-e1ed-4032-860d-3455498c25df','UId':'a096f02b-3e6f-4c86-92d7-93c5a01b08fe','Col':5,'Row':11,'Format':'string','Value':' ','TargetCode':''}</v>
      </c>
    </row>
    <row r="399" spans="1:1" x14ac:dyDescent="0.2">
      <c r="A399" t="str">
        <f>CONCATENATE("{'SheetId':'3e581ecb-e1ed-4032-860d-3455498c25df'",",","'UId':'90b5e842-a803-444c-ac6c-797a9903d867'",",'Col':",COLUMN(BCHDVay_GDMuaBanLai!F11),",'Row':",ROW(BCHDVay_GDMuaBanLai!F11),",","'Format':'numberic'",",'Value':'",SUBSTITUTE(BCHDVay_GDMuaBanLai!F11,"'","\'"),"','TargetCode':''}")</f>
        <v>{'SheetId':'3e581ecb-e1ed-4032-860d-3455498c25df','UId':'90b5e842-a803-444c-ac6c-797a9903d867','Col':6,'Row':11,'Format':'numberic','Value':' ','TargetCode':''}</v>
      </c>
    </row>
    <row r="400" spans="1:1" x14ac:dyDescent="0.2">
      <c r="A400" t="str">
        <f>CONCATENATE("{'SheetId':'3e581ecb-e1ed-4032-860d-3455498c25df'",",","'UId':'bc20a1ff-31e2-4179-876e-b62d8c131b8f'",",'Col':",COLUMN(BCHDVay_GDMuaBanLai!G11),",'Row':",ROW(BCHDVay_GDMuaBanLai!G11),",","'Format':'string'",",'Value':'",SUBSTITUTE(BCHDVay_GDMuaBanLai!G11,"'","\'"),"','TargetCode':''}")</f>
        <v>{'SheetId':'3e581ecb-e1ed-4032-860d-3455498c25df','UId':'bc20a1ff-31e2-4179-876e-b62d8c131b8f','Col':7,'Row':11,'Format':'string','Value':' ','TargetCode':''}</v>
      </c>
    </row>
    <row r="401" spans="1:1" x14ac:dyDescent="0.2">
      <c r="A401" t="str">
        <f>CONCATENATE("{'SheetId':'3e581ecb-e1ed-4032-860d-3455498c25df'",",","'UId':'433be75a-aa8d-49f7-b44a-1155bcbb7aa2'",",'Col':",COLUMN(BCHDVay_GDMuaBanLai!H11),",'Row':",ROW(BCHDVay_GDMuaBanLai!H11),",","'Format':'numberic'",",'Value':'",SUBSTITUTE(BCHDVay_GDMuaBanLai!H11,"'","\'"),"','TargetCode':''}")</f>
        <v>{'SheetId':'3e581ecb-e1ed-4032-860d-3455498c25df','UId':'433be75a-aa8d-49f7-b44a-1155bcbb7aa2','Col':8,'Row':11,'Format':'numberic','Value':' ','TargetCode':''}</v>
      </c>
    </row>
    <row r="402" spans="1:1" x14ac:dyDescent="0.2">
      <c r="A402" t="str">
        <f>CONCATENATE("{'SheetId':'3e581ecb-e1ed-4032-860d-3455498c25df'",",","'UId':'72a56c2f-b4c7-4427-bde7-7d62f1af0e49'",",'Col':",COLUMN(BCHDVay_GDMuaBanLai!I11),",'Row':",ROW(BCHDVay_GDMuaBanLai!I11),",","'Format':'string'",",'Value':'",SUBSTITUTE(BCHDVay_GDMuaBanLai!I11,"'","\'"),"','TargetCode':''}")</f>
        <v>{'SheetId':'3e581ecb-e1ed-4032-860d-3455498c25df','UId':'72a56c2f-b4c7-4427-bde7-7d62f1af0e49','Col':9,'Row':11,'Format':'string','Value':' ','TargetCode':''}</v>
      </c>
    </row>
    <row r="403" spans="1:1" x14ac:dyDescent="0.2">
      <c r="A403" t="str">
        <f>CONCATENATE("{'SheetId':'3e581ecb-e1ed-4032-860d-3455498c25df'",",","'UId':'ae94aa20-b3ed-4ed2-82b1-df04f858d655'",",'Col':",COLUMN(BCHDVay_GDMuaBanLai!J11),",'Row':",ROW(BCHDVay_GDMuaBanLai!J11),",","'Format':'numberic'",",'Value':'",SUBSTITUTE(BCHDVay_GDMuaBanLai!J11,"'","\'"),"','TargetCode':''}")</f>
        <v>{'SheetId':'3e581ecb-e1ed-4032-860d-3455498c25df','UId':'ae94aa20-b3ed-4ed2-82b1-df04f858d655','Col':10,'Row':11,'Format':'numberic','Value':' ','TargetCode':''}</v>
      </c>
    </row>
    <row r="404" spans="1:1" x14ac:dyDescent="0.2">
      <c r="A404" t="str">
        <f>CONCATENATE("{'SheetId':'3e581ecb-e1ed-4032-860d-3455498c25df'",",","'UId':'33330b3e-50a8-4721-b938-86f94452f34f'",",'Col':",COLUMN(BCHDVay_GDMuaBanLai!C12),",'Row':",ROW(BCHDVay_GDMuaBanLai!C12),",","'Format':'string'",",'Value':'",SUBSTITUTE(BCHDVay_GDMuaBanLai!C12,"'","\'"),"','TargetCode':''}")</f>
        <v>{'SheetId':'3e581ecb-e1ed-4032-860d-3455498c25df','UId':'33330b3e-50a8-4721-b938-86f94452f34f','Col':3,'Row':12,'Format':'string','Value':' ','TargetCode':''}</v>
      </c>
    </row>
    <row r="405" spans="1:1" x14ac:dyDescent="0.2">
      <c r="A405" t="str">
        <f>CONCATENATE("{'SheetId':'3e581ecb-e1ed-4032-860d-3455498c25df'",",","'UId':'7b2d9405-9437-40b2-80dc-0661145da3f2'",",'Col':",COLUMN(BCHDVay_GDMuaBanLai!D12),",'Row':",ROW(BCHDVay_GDMuaBanLai!D12),",","'Format':'string'",",'Value':'",SUBSTITUTE(BCHDVay_GDMuaBanLai!D12,"'","\'"),"','TargetCode':''}")</f>
        <v>{'SheetId':'3e581ecb-e1ed-4032-860d-3455498c25df','UId':'7b2d9405-9437-40b2-80dc-0661145da3f2','Col':4,'Row':12,'Format':'string','Value':' ','TargetCode':''}</v>
      </c>
    </row>
    <row r="406" spans="1:1" x14ac:dyDescent="0.2">
      <c r="A406" t="str">
        <f>CONCATENATE("{'SheetId':'3e581ecb-e1ed-4032-860d-3455498c25df'",",","'UId':'ba5f286b-0f95-4923-b2c0-57bab2adc954'",",'Col':",COLUMN(BCHDVay_GDMuaBanLai!E12),",'Row':",ROW(BCHDVay_GDMuaBanLai!E12),",","'Format':'string'",",'Value':'",SUBSTITUTE(BCHDVay_GDMuaBanLai!E12,"'","\'"),"','TargetCode':''}")</f>
        <v>{'SheetId':'3e581ecb-e1ed-4032-860d-3455498c25df','UId':'ba5f286b-0f95-4923-b2c0-57bab2adc954','Col':5,'Row':12,'Format':'string','Value':' ','TargetCode':''}</v>
      </c>
    </row>
    <row r="407" spans="1:1" x14ac:dyDescent="0.2">
      <c r="A407" t="str">
        <f>CONCATENATE("{'SheetId':'3e581ecb-e1ed-4032-860d-3455498c25df'",",","'UId':'a231dcfa-c8f8-404d-9e9e-ade924c06056'",",'Col':",COLUMN(BCHDVay_GDMuaBanLai!F12),",'Row':",ROW(BCHDVay_GDMuaBanLai!F12),",","'Format':'numberic'",",'Value':'",SUBSTITUTE(BCHDVay_GDMuaBanLai!F12,"'","\'"),"','TargetCode':''}")</f>
        <v>{'SheetId':'3e581ecb-e1ed-4032-860d-3455498c25df','UId':'a231dcfa-c8f8-404d-9e9e-ade924c06056','Col':6,'Row':12,'Format':'numberic','Value':' ','TargetCode':''}</v>
      </c>
    </row>
    <row r="408" spans="1:1" x14ac:dyDescent="0.2">
      <c r="A408" t="str">
        <f>CONCATENATE("{'SheetId':'3e581ecb-e1ed-4032-860d-3455498c25df'",",","'UId':'f030a8f3-8603-47b8-938c-198f71d83610'",",'Col':",COLUMN(BCHDVay_GDMuaBanLai!G12),",'Row':",ROW(BCHDVay_GDMuaBanLai!G12),",","'Format':'string'",",'Value':'",SUBSTITUTE(BCHDVay_GDMuaBanLai!G12,"'","\'"),"','TargetCode':''}")</f>
        <v>{'SheetId':'3e581ecb-e1ed-4032-860d-3455498c25df','UId':'f030a8f3-8603-47b8-938c-198f71d83610','Col':7,'Row':12,'Format':'string','Value':' ','TargetCode':''}</v>
      </c>
    </row>
    <row r="409" spans="1:1" x14ac:dyDescent="0.2">
      <c r="A409" t="str">
        <f>CONCATENATE("{'SheetId':'3e581ecb-e1ed-4032-860d-3455498c25df'",",","'UId':'24fc5b3d-e495-47e1-9e08-cd83335eecd2'",",'Col':",COLUMN(BCHDVay_GDMuaBanLai!H12),",'Row':",ROW(BCHDVay_GDMuaBanLai!H12),",","'Format':'numberic'",",'Value':'",SUBSTITUTE(BCHDVay_GDMuaBanLai!H12,"'","\'"),"','TargetCode':''}")</f>
        <v>{'SheetId':'3e581ecb-e1ed-4032-860d-3455498c25df','UId':'24fc5b3d-e495-47e1-9e08-cd83335eecd2','Col':8,'Row':12,'Format':'numberic','Value':' ','TargetCode':''}</v>
      </c>
    </row>
    <row r="410" spans="1:1" x14ac:dyDescent="0.2">
      <c r="A410" t="str">
        <f>CONCATENATE("{'SheetId':'3e581ecb-e1ed-4032-860d-3455498c25df'",",","'UId':'6e37144c-2135-4599-a5b8-755a50baf33a'",",'Col':",COLUMN(BCHDVay_GDMuaBanLai!I12),",'Row':",ROW(BCHDVay_GDMuaBanLai!I12),",","'Format':'string'",",'Value':'",SUBSTITUTE(BCHDVay_GDMuaBanLai!I12,"'","\'"),"','TargetCode':''}")</f>
        <v>{'SheetId':'3e581ecb-e1ed-4032-860d-3455498c25df','UId':'6e37144c-2135-4599-a5b8-755a50baf33a','Col':9,'Row':12,'Format':'string','Value':' ','TargetCode':''}</v>
      </c>
    </row>
    <row r="411" spans="1:1" x14ac:dyDescent="0.2">
      <c r="A411" t="str">
        <f>CONCATENATE("{'SheetId':'3e581ecb-e1ed-4032-860d-3455498c25df'",",","'UId':'16ce142b-05b6-42f7-8290-b0f84b9c92a0'",",'Col':",COLUMN(BCHDVay_GDMuaBanLai!J12),",'Row':",ROW(BCHDVay_GDMuaBanLai!J12),",","'Format':'numberic'",",'Value':'",SUBSTITUTE(BCHDVay_GDMuaBanLai!J12,"'","\'"),"','TargetCode':''}")</f>
        <v>{'SheetId':'3e581ecb-e1ed-4032-860d-3455498c25df','UId':'16ce142b-05b6-42f7-8290-b0f84b9c92a0','Col':10,'Row':12,'Format':'numberic','Value':' ','TargetCode':''}</v>
      </c>
    </row>
    <row r="412" spans="1:1" x14ac:dyDescent="0.2">
      <c r="A412" t="str">
        <f>CONCATENATE("{'SheetId':'3e581ecb-e1ed-4032-860d-3455498c25df'",",","'UId':'523ff9a6-f2e4-40f3-82b1-5e9e66e03165'",",'Col':",COLUMN(BCHDVay_GDMuaBanLai!A14),",'Row':",ROW(BCHDVay_GDMuaBanLai!A14),",","'ColDynamic':",COLUMN(BCHDVay_GDMuaBanLai!A13),",","'RowDynamic':",ROW(BCHDVay_GDMuaBanLai!A13),",","'Format':'string'",",'Value':'",SUBSTITUTE(BCHDVay_GDMuaBanLai!A14,"'","\'"),"','TargetCode':''}")</f>
        <v>{'SheetId':'3e581ecb-e1ed-4032-860d-3455498c25df','UId':'523ff9a6-f2e4-40f3-82b1-5e9e66e03165','Col':1,'Row':14,'ColDynamic':1,'RowDynamic':13,'Format':'string','Value':'','TargetCode':''}</v>
      </c>
    </row>
    <row r="413" spans="1:1" x14ac:dyDescent="0.2">
      <c r="A413" t="str">
        <f>CONCATENATE("{'SheetId':'3e581ecb-e1ed-4032-860d-3455498c25df'",",","'UId':'687973a7-d2e2-407e-aed8-05dbdd71a742'",",'Col':",COLUMN(BCHDVay_GDMuaBanLai!B14),",'Row':",ROW(BCHDVay_GDMuaBanLai!B14),",","'ColDynamic':",COLUMN(BCHDVay_GDMuaBanLai!B13),",","'RowDynamic':",ROW(BCHDVay_GDMuaBanLai!B13),",","'Format':'string'",",'Value':'",SUBSTITUTE(BCHDVay_GDMuaBanLai!B14,"'","\'"),"','TargetCode':''}")</f>
        <v>{'SheetId':'3e581ecb-e1ed-4032-860d-3455498c25df','UId':'687973a7-d2e2-407e-aed8-05dbdd71a742','Col':2,'Row':14,'ColDynamic':2,'RowDynamic':13,'Format':'string','Value':'','TargetCode':''}</v>
      </c>
    </row>
    <row r="414" spans="1:1" x14ac:dyDescent="0.2">
      <c r="A414" t="str">
        <f>CONCATENATE("{'SheetId':'3e581ecb-e1ed-4032-860d-3455498c25df'",",","'UId':'4ecf2e26-38f5-48b6-99e6-f8c169c2b5eb'",",'Col':",COLUMN(BCHDVay_GDMuaBanLai!C14),",'Row':",ROW(BCHDVay_GDMuaBanLai!C14),",","'ColDynamic':",COLUMN(BCHDVay_GDMuaBanLai!C13),",","'RowDynamic':",ROW(BCHDVay_GDMuaBanLai!C13),",","'Format':'string'",",'Value':'",SUBSTITUTE(BCHDVay_GDMuaBanLai!C14,"'","\'"),"','TargetCode':''}")</f>
        <v>{'SheetId':'3e581ecb-e1ed-4032-860d-3455498c25df','UId':'4ecf2e26-38f5-48b6-99e6-f8c169c2b5eb','Col':3,'Row':14,'ColDynamic':3,'RowDynamic':13,'Format':'string','Value':' ','TargetCode':''}</v>
      </c>
    </row>
    <row r="415" spans="1:1" x14ac:dyDescent="0.2">
      <c r="A415" t="str">
        <f>CONCATENATE("{'SheetId':'3e581ecb-e1ed-4032-860d-3455498c25df'",",","'UId':'ebd40483-71d4-429f-9623-2b29fc9c57f6'",",'Col':",COLUMN(BCHDVay_GDMuaBanLai!D14),",'Row':",ROW(BCHDVay_GDMuaBanLai!D14),",","'ColDynamic':",COLUMN(BCHDVay_GDMuaBanLai!D13),",","'RowDynamic':",ROW(BCHDVay_GDMuaBanLai!D13),",","'Format':'string'",",'Value':'",SUBSTITUTE(BCHDVay_GDMuaBanLai!D14,"'","\'"),"','TargetCode':''}")</f>
        <v>{'SheetId':'3e581ecb-e1ed-4032-860d-3455498c25df','UId':'ebd40483-71d4-429f-9623-2b29fc9c57f6','Col':4,'Row':14,'ColDynamic':4,'RowDynamic':13,'Format':'string','Value':' ','TargetCode':''}</v>
      </c>
    </row>
    <row r="416" spans="1:1" x14ac:dyDescent="0.2">
      <c r="A416" t="str">
        <f>CONCATENATE("{'SheetId':'3e581ecb-e1ed-4032-860d-3455498c25df'",",","'UId':'54f4b4f6-d77d-48ab-ac84-9bc276c0ae27'",",'Col':",COLUMN(BCHDVay_GDMuaBanLai!E14),",'Row':",ROW(BCHDVay_GDMuaBanLai!E14),",","'ColDynamic':",COLUMN(BCHDVay_GDMuaBanLai!E13),",","'RowDynamic':",ROW(BCHDVay_GDMuaBanLai!E13),",","'Format':'string'",",'Value':'",SUBSTITUTE(BCHDVay_GDMuaBanLai!E14,"'","\'"),"','TargetCode':''}")</f>
        <v>{'SheetId':'3e581ecb-e1ed-4032-860d-3455498c25df','UId':'54f4b4f6-d77d-48ab-ac84-9bc276c0ae27','Col':5,'Row':14,'ColDynamic':5,'RowDynamic':13,'Format':'string','Value':' ','TargetCode':''}</v>
      </c>
    </row>
    <row r="417" spans="1:1" x14ac:dyDescent="0.2">
      <c r="A417" t="str">
        <f>CONCATENATE("{'SheetId':'3e581ecb-e1ed-4032-860d-3455498c25df'",",","'UId':'61cd3f40-017c-4f1c-82c5-8b0cfaff92a1'",",'Col':",COLUMN(BCHDVay_GDMuaBanLai!F14),",'Row':",ROW(BCHDVay_GDMuaBanLai!F14),",","'ColDynamic':",COLUMN(BCHDVay_GDMuaBanLai!F13),",","'RowDynamic':",ROW(BCHDVay_GDMuaBanLai!F13),",","'Format':'numberic'",",'Value':'",SUBSTITUTE(BCHDVay_GDMuaBanLai!F14,"'","\'"),"','TargetCode':''}")</f>
        <v>{'SheetId':'3e581ecb-e1ed-4032-860d-3455498c25df','UId':'61cd3f40-017c-4f1c-82c5-8b0cfaff92a1','Col':6,'Row':14,'ColDynamic':6,'RowDynamic':13,'Format':'numberic','Value':' ','TargetCode':''}</v>
      </c>
    </row>
    <row r="418" spans="1:1" x14ac:dyDescent="0.2">
      <c r="A418" t="str">
        <f>CONCATENATE("{'SheetId':'3e581ecb-e1ed-4032-860d-3455498c25df'",",","'UId':'ee24892e-8b23-4cca-a8c0-7099b372522d'",",'Col':",COLUMN(BCHDVay_GDMuaBanLai!G14),",'Row':",ROW(BCHDVay_GDMuaBanLai!G14),",","'ColDynamic':",COLUMN(BCHDVay_GDMuaBanLai!G13),",","'RowDynamic':",ROW(BCHDVay_GDMuaBanLai!G13),",","'Format':'string'",",'Value':'",SUBSTITUTE(BCHDVay_GDMuaBanLai!G14,"'","\'"),"','TargetCode':''}")</f>
        <v>{'SheetId':'3e581ecb-e1ed-4032-860d-3455498c25df','UId':'ee24892e-8b23-4cca-a8c0-7099b372522d','Col':7,'Row':14,'ColDynamic':7,'RowDynamic':13,'Format':'string','Value':' ','TargetCode':''}</v>
      </c>
    </row>
    <row r="419" spans="1:1" x14ac:dyDescent="0.2">
      <c r="A419" t="str">
        <f>CONCATENATE("{'SheetId':'3e581ecb-e1ed-4032-860d-3455498c25df'",",","'UId':'3c9e3aaa-9c01-4d84-a61f-a469cf452571'",",'Col':",COLUMN(BCHDVay_GDMuaBanLai!H14),",'Row':",ROW(BCHDVay_GDMuaBanLai!H14),",","'ColDynamic':",COLUMN(BCHDVay_GDMuaBanLai!H13),",","'RowDynamic':",ROW(BCHDVay_GDMuaBanLai!H13),",","'Format':'numberic'",",'Value':'",SUBSTITUTE(BCHDVay_GDMuaBanLai!H14,"'","\'"),"','TargetCode':''}")</f>
        <v>{'SheetId':'3e581ecb-e1ed-4032-860d-3455498c25df','UId':'3c9e3aaa-9c01-4d84-a61f-a469cf452571','Col':8,'Row':14,'ColDynamic':8,'RowDynamic':13,'Format':'numberic','Value':' ','TargetCode':''}</v>
      </c>
    </row>
    <row r="420" spans="1:1" x14ac:dyDescent="0.2">
      <c r="A420" t="str">
        <f>CONCATENATE("{'SheetId':'3e581ecb-e1ed-4032-860d-3455498c25df'",",","'UId':'b2771b15-a570-4c85-8544-0dc1d9ce00dc'",",'Col':",COLUMN(BCHDVay_GDMuaBanLai!I14),",'Row':",ROW(BCHDVay_GDMuaBanLai!I14),",","'ColDynamic':",COLUMN(BCHDVay_GDMuaBanLai!I13),",","'RowDynamic':",ROW(BCHDVay_GDMuaBanLai!I13),",","'Format':'string'",",'Value':'",SUBSTITUTE(BCHDVay_GDMuaBanLai!I14,"'","\'"),"','TargetCode':''}")</f>
        <v>{'SheetId':'3e581ecb-e1ed-4032-860d-3455498c25df','UId':'b2771b15-a570-4c85-8544-0dc1d9ce00dc','Col':9,'Row':14,'ColDynamic':9,'RowDynamic':13,'Format':'string','Value':' ','TargetCode':''}</v>
      </c>
    </row>
    <row r="421" spans="1:1" x14ac:dyDescent="0.2">
      <c r="A421" t="str">
        <f>CONCATENATE("{'SheetId':'3e581ecb-e1ed-4032-860d-3455498c25df'",",","'UId':'281f381c-bed6-4ec8-b1e8-58270134c8d7'",",'Col':",COLUMN(BCHDVay_GDMuaBanLai!J14),",'Row':",ROW(BCHDVay_GDMuaBanLai!J14),",","'ColDynamic':",COLUMN(BCHDVay_GDMuaBanLai!J13),",","'RowDynamic':",ROW(BCHDVay_GDMuaBanLai!J13),",","'Format':'numberic'",",'Value':'",SUBSTITUTE(BCHDVay_GDMuaBanLai!J14,"'","\'"),"','TargetCode':''}")</f>
        <v>{'SheetId':'3e581ecb-e1ed-4032-860d-3455498c25df','UId':'281f381c-bed6-4ec8-b1e8-58270134c8d7','Col':10,'Row':14,'ColDynamic':10,'RowDynamic':13,'Format':'numberic','Value':' ','TargetCode':''}</v>
      </c>
    </row>
    <row r="422" spans="1:1" x14ac:dyDescent="0.2">
      <c r="A422" t="str">
        <f>CONCATENATE("{'SheetId':'3e581ecb-e1ed-4032-860d-3455498c25df'",",","'UId':'5ffac3f1-bdf7-4934-b778-e9053a8aa3c4'",",'Col':",COLUMN(BCHDVay_GDMuaBanLai!C15),",'Row':",ROW(BCHDVay_GDMuaBanLai!C15),",","'Format':'string'",",'Value':'",SUBSTITUTE(BCHDVay_GDMuaBanLai!C15,"'","\'"),"','TargetCode':''}")</f>
        <v>{'SheetId':'3e581ecb-e1ed-4032-860d-3455498c25df','UId':'5ffac3f1-bdf7-4934-b778-e9053a8aa3c4','Col':3,'Row':15,'Format':'string','Value':' ','TargetCode':''}</v>
      </c>
    </row>
    <row r="423" spans="1:1" x14ac:dyDescent="0.2">
      <c r="A423" t="str">
        <f>CONCATENATE("{'SheetId':'3e581ecb-e1ed-4032-860d-3455498c25df'",",","'UId':'9b98bbfc-bdfe-463d-b8a2-199d4195e04d'",",'Col':",COLUMN(BCHDVay_GDMuaBanLai!D15),",'Row':",ROW(BCHDVay_GDMuaBanLai!D15),",","'Format':'string'",",'Value':'",SUBSTITUTE(BCHDVay_GDMuaBanLai!D15,"'","\'"),"','TargetCode':''}")</f>
        <v>{'SheetId':'3e581ecb-e1ed-4032-860d-3455498c25df','UId':'9b98bbfc-bdfe-463d-b8a2-199d4195e04d','Col':4,'Row':15,'Format':'string','Value':' ','TargetCode':''}</v>
      </c>
    </row>
    <row r="424" spans="1:1" x14ac:dyDescent="0.2">
      <c r="A424" t="str">
        <f>CONCATENATE("{'SheetId':'3e581ecb-e1ed-4032-860d-3455498c25df'",",","'UId':'549eb3b3-83ec-4d62-b98e-edf7b8904b24'",",'Col':",COLUMN(BCHDVay_GDMuaBanLai!E15),",'Row':",ROW(BCHDVay_GDMuaBanLai!E15),",","'Format':'string'",",'Value':'",SUBSTITUTE(BCHDVay_GDMuaBanLai!E15,"'","\'"),"','TargetCode':''}")</f>
        <v>{'SheetId':'3e581ecb-e1ed-4032-860d-3455498c25df','UId':'549eb3b3-83ec-4d62-b98e-edf7b8904b24','Col':5,'Row':15,'Format':'string','Value':' ','TargetCode':''}</v>
      </c>
    </row>
    <row r="425" spans="1:1" x14ac:dyDescent="0.2">
      <c r="A425" t="str">
        <f>CONCATENATE("{'SheetId':'3e581ecb-e1ed-4032-860d-3455498c25df'",",","'UId':'778090cd-daa8-48ae-9afe-d6b55bfa3eba'",",'Col':",COLUMN(BCHDVay_GDMuaBanLai!F15),",'Row':",ROW(BCHDVay_GDMuaBanLai!F15),",","'Format':'numberic'",",'Value':'",SUBSTITUTE(BCHDVay_GDMuaBanLai!F15,"'","\'"),"','TargetCode':''}")</f>
        <v>{'SheetId':'3e581ecb-e1ed-4032-860d-3455498c25df','UId':'778090cd-daa8-48ae-9afe-d6b55bfa3eba','Col':6,'Row':15,'Format':'numberic','Value':' ','TargetCode':''}</v>
      </c>
    </row>
    <row r="426" spans="1:1" x14ac:dyDescent="0.2">
      <c r="A426" t="str">
        <f>CONCATENATE("{'SheetId':'3e581ecb-e1ed-4032-860d-3455498c25df'",",","'UId':'ba6468a4-1630-4eae-bfd2-88c02f0a31f7'",",'Col':",COLUMN(BCHDVay_GDMuaBanLai!G15),",'Row':",ROW(BCHDVay_GDMuaBanLai!G15),",","'Format':'string'",",'Value':'",SUBSTITUTE(BCHDVay_GDMuaBanLai!G15,"'","\'"),"','TargetCode':''}")</f>
        <v>{'SheetId':'3e581ecb-e1ed-4032-860d-3455498c25df','UId':'ba6468a4-1630-4eae-bfd2-88c02f0a31f7','Col':7,'Row':15,'Format':'string','Value':' ','TargetCode':''}</v>
      </c>
    </row>
    <row r="427" spans="1:1" x14ac:dyDescent="0.2">
      <c r="A427" t="str">
        <f>CONCATENATE("{'SheetId':'3e581ecb-e1ed-4032-860d-3455498c25df'",",","'UId':'45ce3fe3-b023-41f8-a6b5-a6b1ad0e4b75'",",'Col':",COLUMN(BCHDVay_GDMuaBanLai!H15),",'Row':",ROW(BCHDVay_GDMuaBanLai!H15),",","'Format':'numberic'",",'Value':'",SUBSTITUTE(BCHDVay_GDMuaBanLai!H15,"'","\'"),"','TargetCode':''}")</f>
        <v>{'SheetId':'3e581ecb-e1ed-4032-860d-3455498c25df','UId':'45ce3fe3-b023-41f8-a6b5-a6b1ad0e4b75','Col':8,'Row':15,'Format':'numberic','Value':' ','TargetCode':''}</v>
      </c>
    </row>
    <row r="428" spans="1:1" x14ac:dyDescent="0.2">
      <c r="A428" t="str">
        <f>CONCATENATE("{'SheetId':'3e581ecb-e1ed-4032-860d-3455498c25df'",",","'UId':'11ffb4c1-a7ae-44d7-9915-5a292ff18f05'",",'Col':",COLUMN(BCHDVay_GDMuaBanLai!I15),",'Row':",ROW(BCHDVay_GDMuaBanLai!I15),",","'Format':'string'",",'Value':'",SUBSTITUTE(BCHDVay_GDMuaBanLai!I15,"'","\'"),"','TargetCode':''}")</f>
        <v>{'SheetId':'3e581ecb-e1ed-4032-860d-3455498c25df','UId':'11ffb4c1-a7ae-44d7-9915-5a292ff18f05','Col':9,'Row':15,'Format':'string','Value':' ','TargetCode':''}</v>
      </c>
    </row>
    <row r="429" spans="1:1" x14ac:dyDescent="0.2">
      <c r="A429" t="str">
        <f>CONCATENATE("{'SheetId':'3e581ecb-e1ed-4032-860d-3455498c25df'",",","'UId':'d8608036-242c-4da3-988f-c34fe7d2334b'",",'Col':",COLUMN(BCHDVay_GDMuaBanLai!J15),",'Row':",ROW(BCHDVay_GDMuaBanLai!J15),",","'Format':'numberic'",",'Value':'",SUBSTITUTE(BCHDVay_GDMuaBanLai!J15,"'","\'"),"','TargetCode':''}")</f>
        <v>{'SheetId':'3e581ecb-e1ed-4032-860d-3455498c25df','UId':'d8608036-242c-4da3-988f-c34fe7d2334b','Col':10,'Row':15,'Format':'numberic','Value':' ','TargetCode':''}</v>
      </c>
    </row>
    <row r="430" spans="1:1" x14ac:dyDescent="0.2">
      <c r="A430" t="str">
        <f>CONCATENATE("{'SheetId':'3e581ecb-e1ed-4032-860d-3455498c25df'",",","'UId':'620b07a0-96ed-4a35-9386-a30b40a6aa99'",",'Col':",COLUMN(BCHDVay_GDMuaBanLai!C16),",'Row':",ROW(BCHDVay_GDMuaBanLai!C16),",","'Format':'string'",",'Value':'",SUBSTITUTE(BCHDVay_GDMuaBanLai!C16,"'","\'"),"','TargetCode':''}")</f>
        <v>{'SheetId':'3e581ecb-e1ed-4032-860d-3455498c25df','UId':'620b07a0-96ed-4a35-9386-a30b40a6aa99','Col':3,'Row':16,'Format':'string','Value':' ','TargetCode':''}</v>
      </c>
    </row>
    <row r="431" spans="1:1" x14ac:dyDescent="0.2">
      <c r="A431" t="str">
        <f>CONCATENATE("{'SheetId':'3e581ecb-e1ed-4032-860d-3455498c25df'",",","'UId':'189abb83-acce-4b90-8ffc-c438d5387c57'",",'Col':",COLUMN(BCHDVay_GDMuaBanLai!D16),",'Row':",ROW(BCHDVay_GDMuaBanLai!D16),",","'Format':'string'",",'Value':'",SUBSTITUTE(BCHDVay_GDMuaBanLai!D16,"'","\'"),"','TargetCode':''}")</f>
        <v>{'SheetId':'3e581ecb-e1ed-4032-860d-3455498c25df','UId':'189abb83-acce-4b90-8ffc-c438d5387c57','Col':4,'Row':16,'Format':'string','Value':' ','TargetCode':''}</v>
      </c>
    </row>
    <row r="432" spans="1:1" x14ac:dyDescent="0.2">
      <c r="A432" t="str">
        <f>CONCATENATE("{'SheetId':'3e581ecb-e1ed-4032-860d-3455498c25df'",",","'UId':'8f26a0b4-f0a7-4515-8522-28001825fe7c'",",'Col':",COLUMN(BCHDVay_GDMuaBanLai!E16),",'Row':",ROW(BCHDVay_GDMuaBanLai!E16),",","'Format':'string'",",'Value':'",SUBSTITUTE(BCHDVay_GDMuaBanLai!E16,"'","\'"),"','TargetCode':''}")</f>
        <v>{'SheetId':'3e581ecb-e1ed-4032-860d-3455498c25df','UId':'8f26a0b4-f0a7-4515-8522-28001825fe7c','Col':5,'Row':16,'Format':'string','Value':' ','TargetCode':''}</v>
      </c>
    </row>
    <row r="433" spans="1:1" x14ac:dyDescent="0.2">
      <c r="A433" t="str">
        <f>CONCATENATE("{'SheetId':'3e581ecb-e1ed-4032-860d-3455498c25df'",",","'UId':'bd94dddf-ff3b-441c-bab6-de37a4c6c04c'",",'Col':",COLUMN(BCHDVay_GDMuaBanLai!F16),",'Row':",ROW(BCHDVay_GDMuaBanLai!F16),",","'Format':'numberic'",",'Value':'",SUBSTITUTE(BCHDVay_GDMuaBanLai!F16,"'","\'"),"','TargetCode':''}")</f>
        <v>{'SheetId':'3e581ecb-e1ed-4032-860d-3455498c25df','UId':'bd94dddf-ff3b-441c-bab6-de37a4c6c04c','Col':6,'Row':16,'Format':'numberic','Value':' ','TargetCode':''}</v>
      </c>
    </row>
    <row r="434" spans="1:1" x14ac:dyDescent="0.2">
      <c r="A434" t="str">
        <f>CONCATENATE("{'SheetId':'3e581ecb-e1ed-4032-860d-3455498c25df'",",","'UId':'730e67aa-584a-4851-ad0c-10ae19abe720'",",'Col':",COLUMN(BCHDVay_GDMuaBanLai!G16),",'Row':",ROW(BCHDVay_GDMuaBanLai!G16),",","'Format':'string'",",'Value':'",SUBSTITUTE(BCHDVay_GDMuaBanLai!G16,"'","\'"),"','TargetCode':''}")</f>
        <v>{'SheetId':'3e581ecb-e1ed-4032-860d-3455498c25df','UId':'730e67aa-584a-4851-ad0c-10ae19abe720','Col':7,'Row':16,'Format':'string','Value':' ','TargetCode':''}</v>
      </c>
    </row>
    <row r="435" spans="1:1" x14ac:dyDescent="0.2">
      <c r="A435" t="str">
        <f>CONCATENATE("{'SheetId':'3e581ecb-e1ed-4032-860d-3455498c25df'",",","'UId':'bec307b6-d218-44fb-932b-69ec087bc1ff'",",'Col':",COLUMN(BCHDVay_GDMuaBanLai!H16),",'Row':",ROW(BCHDVay_GDMuaBanLai!H16),",","'Format':'numberic'",",'Value':'",SUBSTITUTE(BCHDVay_GDMuaBanLai!H16,"'","\'"),"','TargetCode':''}")</f>
        <v>{'SheetId':'3e581ecb-e1ed-4032-860d-3455498c25df','UId':'bec307b6-d218-44fb-932b-69ec087bc1ff','Col':8,'Row':16,'Format':'numberic','Value':' ','TargetCode':''}</v>
      </c>
    </row>
    <row r="436" spans="1:1" x14ac:dyDescent="0.2">
      <c r="A436" t="str">
        <f>CONCATENATE("{'SheetId':'3e581ecb-e1ed-4032-860d-3455498c25df'",",","'UId':'0fae7c56-ce9e-43ee-9f1f-7491bc624017'",",'Col':",COLUMN(BCHDVay_GDMuaBanLai!I16),",'Row':",ROW(BCHDVay_GDMuaBanLai!I16),",","'Format':'string'",",'Value':'",SUBSTITUTE(BCHDVay_GDMuaBanLai!I16,"'","\'"),"','TargetCode':''}")</f>
        <v>{'SheetId':'3e581ecb-e1ed-4032-860d-3455498c25df','UId':'0fae7c56-ce9e-43ee-9f1f-7491bc624017','Col':9,'Row':16,'Format':'string','Value':' ','TargetCode':''}</v>
      </c>
    </row>
    <row r="437" spans="1:1" x14ac:dyDescent="0.2">
      <c r="A437" t="str">
        <f>CONCATENATE("{'SheetId':'3e581ecb-e1ed-4032-860d-3455498c25df'",",","'UId':'3fc66a32-caab-432b-a924-58a6c62f0948'",",'Col':",COLUMN(BCHDVay_GDMuaBanLai!J16),",'Row':",ROW(BCHDVay_GDMuaBanLai!J16),",","'Format':'numberic'",",'Value':'",SUBSTITUTE(BCHDVay_GDMuaBanLai!J16,"'","\'"),"','TargetCode':''}")</f>
        <v>{'SheetId':'3e581ecb-e1ed-4032-860d-3455498c25df','UId':'3fc66a32-caab-432b-a924-58a6c62f0948','Col':10,'Row':16,'Format':'numberic','Value':' ','TargetCode':''}</v>
      </c>
    </row>
    <row r="438" spans="1:1" x14ac:dyDescent="0.2">
      <c r="A438" t="str">
        <f>CONCATENATE("{'SheetId':'3e581ecb-e1ed-4032-860d-3455498c25df'",",","'UId':'ade6dde8-fda4-428d-847e-638155ca7fc5'",",'Col':",COLUMN(BCHDVay_GDMuaBanLai!A18),",'Row':",ROW(BCHDVay_GDMuaBanLai!A18),",","'ColDynamic':",COLUMN(BCHDVay_GDMuaBanLai!A17),",","'RowDynamic':",ROW(BCHDVay_GDMuaBanLai!A17),",","'Format':'string'",",'Value':'",SUBSTITUTE(BCHDVay_GDMuaBanLai!A18,"'","\'"),"','TargetCode':''}")</f>
        <v>{'SheetId':'3e581ecb-e1ed-4032-860d-3455498c25df','UId':'ade6dde8-fda4-428d-847e-638155ca7fc5','Col':1,'Row':18,'ColDynamic':1,'RowDynamic':17,'Format':'string','Value':'','TargetCode':''}</v>
      </c>
    </row>
    <row r="439" spans="1:1" x14ac:dyDescent="0.2">
      <c r="A439" t="str">
        <f>CONCATENATE("{'SheetId':'3e581ecb-e1ed-4032-860d-3455498c25df'",",","'UId':'a9e547d0-bacb-4525-9e21-f359fdec47c5'",",'Col':",COLUMN(BCHDVay_GDMuaBanLai!B18),",'Row':",ROW(BCHDVay_GDMuaBanLai!B18),",","'ColDynamic':",COLUMN(BCHDVay_GDMuaBanLai!B17),",","'RowDynamic':",ROW(BCHDVay_GDMuaBanLai!B17),",","'Format':'string'",",'Value':'",SUBSTITUTE(BCHDVay_GDMuaBanLai!B18,"'","\'"),"','TargetCode':''}")</f>
        <v>{'SheetId':'3e581ecb-e1ed-4032-860d-3455498c25df','UId':'a9e547d0-bacb-4525-9e21-f359fdec47c5','Col':2,'Row':18,'ColDynamic':2,'RowDynamic':17,'Format':'string','Value':'','TargetCode':''}</v>
      </c>
    </row>
    <row r="440" spans="1:1" x14ac:dyDescent="0.2">
      <c r="A440" t="str">
        <f>CONCATENATE("{'SheetId':'3e581ecb-e1ed-4032-860d-3455498c25df'",",","'UId':'c021154d-05c4-438b-8547-4d68ea42baca'",",'Col':",COLUMN(BCHDVay_GDMuaBanLai!C18),",'Row':",ROW(BCHDVay_GDMuaBanLai!C18),",","'ColDynamic':",COLUMN(BCHDVay_GDMuaBanLai!C17),",","'RowDynamic':",ROW(BCHDVay_GDMuaBanLai!C17),",","'Format':'string'",",'Value':'",SUBSTITUTE(BCHDVay_GDMuaBanLai!C18,"'","\'"),"','TargetCode':''}")</f>
        <v>{'SheetId':'3e581ecb-e1ed-4032-860d-3455498c25df','UId':'c021154d-05c4-438b-8547-4d68ea42baca','Col':3,'Row':18,'ColDynamic':3,'RowDynamic':17,'Format':'string','Value':' ','TargetCode':''}</v>
      </c>
    </row>
    <row r="441" spans="1:1" x14ac:dyDescent="0.2">
      <c r="A441" t="str">
        <f>CONCATENATE("{'SheetId':'3e581ecb-e1ed-4032-860d-3455498c25df'",",","'UId':'c9fda080-fd22-4d7b-87b9-f3295638d210'",",'Col':",COLUMN(BCHDVay_GDMuaBanLai!D18),",'Row':",ROW(BCHDVay_GDMuaBanLai!D18),",","'ColDynamic':",COLUMN(BCHDVay_GDMuaBanLai!D17),",","'RowDynamic':",ROW(BCHDVay_GDMuaBanLai!D17),",","'Format':'string'",",'Value':'",SUBSTITUTE(BCHDVay_GDMuaBanLai!D18,"'","\'"),"','TargetCode':''}")</f>
        <v>{'SheetId':'3e581ecb-e1ed-4032-860d-3455498c25df','UId':'c9fda080-fd22-4d7b-87b9-f3295638d210','Col':4,'Row':18,'ColDynamic':4,'RowDynamic':17,'Format':'string','Value':' ','TargetCode':''}</v>
      </c>
    </row>
    <row r="442" spans="1:1" x14ac:dyDescent="0.2">
      <c r="A442" t="str">
        <f>CONCATENATE("{'SheetId':'3e581ecb-e1ed-4032-860d-3455498c25df'",",","'UId':'9f8f5bf6-4448-4f27-a31c-a83dc6aa57fe'",",'Col':",COLUMN(BCHDVay_GDMuaBanLai!E18),",'Row':",ROW(BCHDVay_GDMuaBanLai!E18),",","'ColDynamic':",COLUMN(BCHDVay_GDMuaBanLai!E17),",","'RowDynamic':",ROW(BCHDVay_GDMuaBanLai!E17),",","'Format':'string'",",'Value':'",SUBSTITUTE(BCHDVay_GDMuaBanLai!E18,"'","\'"),"','TargetCode':''}")</f>
        <v>{'SheetId':'3e581ecb-e1ed-4032-860d-3455498c25df','UId':'9f8f5bf6-4448-4f27-a31c-a83dc6aa57fe','Col':5,'Row':18,'ColDynamic':5,'RowDynamic':17,'Format':'string','Value':' ','TargetCode':''}</v>
      </c>
    </row>
    <row r="443" spans="1:1" x14ac:dyDescent="0.2">
      <c r="A443" t="str">
        <f>CONCATENATE("{'SheetId':'3e581ecb-e1ed-4032-860d-3455498c25df'",",","'UId':'c557d3d0-656b-4dc9-8d1a-fbe04c24c84c'",",'Col':",COLUMN(BCHDVay_GDMuaBanLai!F18),",'Row':",ROW(BCHDVay_GDMuaBanLai!F18),",","'ColDynamic':",COLUMN(BCHDVay_GDMuaBanLai!F17),",","'RowDynamic':",ROW(BCHDVay_GDMuaBanLai!F17),",","'Format':'numberic'",",'Value':'",SUBSTITUTE(BCHDVay_GDMuaBanLai!F18,"'","\'"),"','TargetCode':''}")</f>
        <v>{'SheetId':'3e581ecb-e1ed-4032-860d-3455498c25df','UId':'c557d3d0-656b-4dc9-8d1a-fbe04c24c84c','Col':6,'Row':18,'ColDynamic':6,'RowDynamic':17,'Format':'numberic','Value':' ','TargetCode':''}</v>
      </c>
    </row>
    <row r="444" spans="1:1" x14ac:dyDescent="0.2">
      <c r="A444" t="str">
        <f>CONCATENATE("{'SheetId':'3e581ecb-e1ed-4032-860d-3455498c25df'",",","'UId':'32e36003-f9e6-406b-a9a4-fa480ccd4e5f'",",'Col':",COLUMN(BCHDVay_GDMuaBanLai!G18),",'Row':",ROW(BCHDVay_GDMuaBanLai!G18),",","'ColDynamic':",COLUMN(BCHDVay_GDMuaBanLai!G17),",","'RowDynamic':",ROW(BCHDVay_GDMuaBanLai!G17),",","'Format':'string'",",'Value':'",SUBSTITUTE(BCHDVay_GDMuaBanLai!G18,"'","\'"),"','TargetCode':''}")</f>
        <v>{'SheetId':'3e581ecb-e1ed-4032-860d-3455498c25df','UId':'32e36003-f9e6-406b-a9a4-fa480ccd4e5f','Col':7,'Row':18,'ColDynamic':7,'RowDynamic':17,'Format':'string','Value':' ','TargetCode':''}</v>
      </c>
    </row>
    <row r="445" spans="1:1" x14ac:dyDescent="0.2">
      <c r="A445" t="str">
        <f>CONCATENATE("{'SheetId':'3e581ecb-e1ed-4032-860d-3455498c25df'",",","'UId':'871be093-752a-42ac-b988-80a2e46ea6f8'",",'Col':",COLUMN(BCHDVay_GDMuaBanLai!H18),",'Row':",ROW(BCHDVay_GDMuaBanLai!H18),",","'ColDynamic':",COLUMN(BCHDVay_GDMuaBanLai!H17),",","'RowDynamic':",ROW(BCHDVay_GDMuaBanLai!H17),",","'Format':'numberic'",",'Value':'",SUBSTITUTE(BCHDVay_GDMuaBanLai!H18,"'","\'"),"','TargetCode':''}")</f>
        <v>{'SheetId':'3e581ecb-e1ed-4032-860d-3455498c25df','UId':'871be093-752a-42ac-b988-80a2e46ea6f8','Col':8,'Row':18,'ColDynamic':8,'RowDynamic':17,'Format':'numberic','Value':' ','TargetCode':''}</v>
      </c>
    </row>
    <row r="446" spans="1:1" x14ac:dyDescent="0.2">
      <c r="A446" t="str">
        <f>CONCATENATE("{'SheetId':'3e581ecb-e1ed-4032-860d-3455498c25df'",",","'UId':'8da07f95-5b28-4d41-85aa-639dd759fe7b'",",'Col':",COLUMN(BCHDVay_GDMuaBanLai!I18),",'Row':",ROW(BCHDVay_GDMuaBanLai!I18),",","'ColDynamic':",COLUMN(BCHDVay_GDMuaBanLai!I17),",","'RowDynamic':",ROW(BCHDVay_GDMuaBanLai!I17),",","'Format':'string'",",'Value':'",SUBSTITUTE(BCHDVay_GDMuaBanLai!I18,"'","\'"),"','TargetCode':''}")</f>
        <v>{'SheetId':'3e581ecb-e1ed-4032-860d-3455498c25df','UId':'8da07f95-5b28-4d41-85aa-639dd759fe7b','Col':9,'Row':18,'ColDynamic':9,'RowDynamic':17,'Format':'string','Value':' ','TargetCode':''}</v>
      </c>
    </row>
    <row r="447" spans="1:1" x14ac:dyDescent="0.2">
      <c r="A447" t="str">
        <f>CONCATENATE("{'SheetId':'3e581ecb-e1ed-4032-860d-3455498c25df'",",","'UId':'81cf0b07-02fe-4459-bc89-e0cf5c971516'",",'Col':",COLUMN(BCHDVay_GDMuaBanLai!J18),",'Row':",ROW(BCHDVay_GDMuaBanLai!J18),",","'ColDynamic':",COLUMN(BCHDVay_GDMuaBanLai!J17),",","'RowDynamic':",ROW(BCHDVay_GDMuaBanLai!J17),",","'Format':'numberic'",",'Value':'",SUBSTITUTE(BCHDVay_GDMuaBanLai!J18,"'","\'"),"','TargetCode':''}")</f>
        <v>{'SheetId':'3e581ecb-e1ed-4032-860d-3455498c25df','UId':'81cf0b07-02fe-4459-bc89-e0cf5c971516','Col':10,'Row':18,'ColDynamic':10,'RowDynamic':17,'Format':'numberic','Value':' ','TargetCode':''}</v>
      </c>
    </row>
    <row r="448" spans="1:1" x14ac:dyDescent="0.2">
      <c r="A448" t="str">
        <f>CONCATENATE("{'SheetId':'3e581ecb-e1ed-4032-860d-3455498c25df'",",","'UId':'5c26f33d-af4a-4465-aa86-9a224f877b10'",",'Col':",COLUMN(BCHDVay_GDMuaBanLai!C19),",'Row':",ROW(BCHDVay_GDMuaBanLai!C19),",","'Format':'string'",",'Value':'",SUBSTITUTE(BCHDVay_GDMuaBanLai!C19,"'","\'"),"','TargetCode':''}")</f>
        <v>{'SheetId':'3e581ecb-e1ed-4032-860d-3455498c25df','UId':'5c26f33d-af4a-4465-aa86-9a224f877b10','Col':3,'Row':19,'Format':'string','Value':' ','TargetCode':''}</v>
      </c>
    </row>
    <row r="449" spans="1:1" x14ac:dyDescent="0.2">
      <c r="A449" t="str">
        <f>CONCATENATE("{'SheetId':'3e581ecb-e1ed-4032-860d-3455498c25df'",",","'UId':'b99af6c5-5ab3-47ca-99f1-2a6d286358f2'",",'Col':",COLUMN(BCHDVay_GDMuaBanLai!D19),",'Row':",ROW(BCHDVay_GDMuaBanLai!D19),",","'Format':'string'",",'Value':'",SUBSTITUTE(BCHDVay_GDMuaBanLai!D19,"'","\'"),"','TargetCode':''}")</f>
        <v>{'SheetId':'3e581ecb-e1ed-4032-860d-3455498c25df','UId':'b99af6c5-5ab3-47ca-99f1-2a6d286358f2','Col':4,'Row':19,'Format':'string','Value':' ','TargetCode':''}</v>
      </c>
    </row>
    <row r="450" spans="1:1" x14ac:dyDescent="0.2">
      <c r="A450" t="str">
        <f>CONCATENATE("{'SheetId':'3e581ecb-e1ed-4032-860d-3455498c25df'",",","'UId':'80aa7bbe-e2a6-426c-8674-b595e148636f'",",'Col':",COLUMN(BCHDVay_GDMuaBanLai!E19),",'Row':",ROW(BCHDVay_GDMuaBanLai!E19),",","'Format':'string'",",'Value':'",SUBSTITUTE(BCHDVay_GDMuaBanLai!E19,"'","\'"),"','TargetCode':''}")</f>
        <v>{'SheetId':'3e581ecb-e1ed-4032-860d-3455498c25df','UId':'80aa7bbe-e2a6-426c-8674-b595e148636f','Col':5,'Row':19,'Format':'string','Value':' ','TargetCode':''}</v>
      </c>
    </row>
    <row r="451" spans="1:1" x14ac:dyDescent="0.2">
      <c r="A451" t="str">
        <f>CONCATENATE("{'SheetId':'3e581ecb-e1ed-4032-860d-3455498c25df'",",","'UId':'15f828e4-1945-4442-8a6b-d952a820b539'",",'Col':",COLUMN(BCHDVay_GDMuaBanLai!F19),",'Row':",ROW(BCHDVay_GDMuaBanLai!F19),",","'Format':'numberic'",",'Value':'",SUBSTITUTE(BCHDVay_GDMuaBanLai!F19,"'","\'"),"','TargetCode':''}")</f>
        <v>{'SheetId':'3e581ecb-e1ed-4032-860d-3455498c25df','UId':'15f828e4-1945-4442-8a6b-d952a820b539','Col':6,'Row':19,'Format':'numberic','Value':' ','TargetCode':''}</v>
      </c>
    </row>
    <row r="452" spans="1:1" x14ac:dyDescent="0.2">
      <c r="A452" t="str">
        <f>CONCATENATE("{'SheetId':'3e581ecb-e1ed-4032-860d-3455498c25df'",",","'UId':'c51d52ff-9d7d-47c1-802b-44b8e7402e8d'",",'Col':",COLUMN(BCHDVay_GDMuaBanLai!G19),",'Row':",ROW(BCHDVay_GDMuaBanLai!G19),",","'Format':'string'",",'Value':'",SUBSTITUTE(BCHDVay_GDMuaBanLai!G19,"'","\'"),"','TargetCode':''}")</f>
        <v>{'SheetId':'3e581ecb-e1ed-4032-860d-3455498c25df','UId':'c51d52ff-9d7d-47c1-802b-44b8e7402e8d','Col':7,'Row':19,'Format':'string','Value':' ','TargetCode':''}</v>
      </c>
    </row>
    <row r="453" spans="1:1" x14ac:dyDescent="0.2">
      <c r="A453" t="str">
        <f>CONCATENATE("{'SheetId':'3e581ecb-e1ed-4032-860d-3455498c25df'",",","'UId':'4f09d3a0-0319-4244-90f4-7d743837559e'",",'Col':",COLUMN(BCHDVay_GDMuaBanLai!H19),",'Row':",ROW(BCHDVay_GDMuaBanLai!H19),",","'Format':'numberic'",",'Value':'",SUBSTITUTE(BCHDVay_GDMuaBanLai!H19,"'","\'"),"','TargetCode':''}")</f>
        <v>{'SheetId':'3e581ecb-e1ed-4032-860d-3455498c25df','UId':'4f09d3a0-0319-4244-90f4-7d743837559e','Col':8,'Row':19,'Format':'numberic','Value':' ','TargetCode':''}</v>
      </c>
    </row>
    <row r="454" spans="1:1" x14ac:dyDescent="0.2">
      <c r="A454" t="str">
        <f>CONCATENATE("{'SheetId':'3e581ecb-e1ed-4032-860d-3455498c25df'",",","'UId':'6ad7e428-1fc1-4c6d-9212-d37fb29ea0a0'",",'Col':",COLUMN(BCHDVay_GDMuaBanLai!I19),",'Row':",ROW(BCHDVay_GDMuaBanLai!I19),",","'Format':'string'",",'Value':'",SUBSTITUTE(BCHDVay_GDMuaBanLai!I19,"'","\'"),"','TargetCode':''}")</f>
        <v>{'SheetId':'3e581ecb-e1ed-4032-860d-3455498c25df','UId':'6ad7e428-1fc1-4c6d-9212-d37fb29ea0a0','Col':9,'Row':19,'Format':'string','Value':' ','TargetCode':''}</v>
      </c>
    </row>
    <row r="455" spans="1:1" x14ac:dyDescent="0.2">
      <c r="A455" t="str">
        <f>CONCATENATE("{'SheetId':'3e581ecb-e1ed-4032-860d-3455498c25df'",",","'UId':'3b849f86-0bd3-4e0a-a9b9-b5b2de8c86d2'",",'Col':",COLUMN(BCHDVay_GDMuaBanLai!J19),",'Row':",ROW(BCHDVay_GDMuaBanLai!J19),",","'Format':'numberic'",",'Value':'",SUBSTITUTE(BCHDVay_GDMuaBanLai!J19,"'","\'"),"','TargetCode':''}")</f>
        <v>{'SheetId':'3e581ecb-e1ed-4032-860d-3455498c25df','UId':'3b849f86-0bd3-4e0a-a9b9-b5b2de8c86d2','Col':10,'Row':19,'Format':'numberic','Value':' ','TargetCode':''}</v>
      </c>
    </row>
    <row r="456" spans="1:1" x14ac:dyDescent="0.2">
      <c r="A456" t="str">
        <f>CONCATENATE("{'SheetId':'3e581ecb-e1ed-4032-860d-3455498c25df'",",","'UId':'a3d22a5e-7d91-4083-8b44-5452412adc58'",",'Col':",COLUMN(BCHDVay_GDMuaBanLai!C20),",'Row':",ROW(BCHDVay_GDMuaBanLai!C20),",","'Format':'string'",",'Value':'",SUBSTITUTE(BCHDVay_GDMuaBanLai!C20,"'","\'"),"','TargetCode':''}")</f>
        <v>{'SheetId':'3e581ecb-e1ed-4032-860d-3455498c25df','UId':'a3d22a5e-7d91-4083-8b44-5452412adc58','Col':3,'Row':20,'Format':'string','Value':' ','TargetCode':''}</v>
      </c>
    </row>
    <row r="457" spans="1:1" x14ac:dyDescent="0.2">
      <c r="A457" t="str">
        <f>CONCATENATE("{'SheetId':'3e581ecb-e1ed-4032-860d-3455498c25df'",",","'UId':'ebea4493-68f5-4449-97db-0f12b8b01391'",",'Col':",COLUMN(BCHDVay_GDMuaBanLai!D20),",'Row':",ROW(BCHDVay_GDMuaBanLai!D20),",","'Format':'string'",",'Value':'",SUBSTITUTE(BCHDVay_GDMuaBanLai!D20,"'","\'"),"','TargetCode':''}")</f>
        <v>{'SheetId':'3e581ecb-e1ed-4032-860d-3455498c25df','UId':'ebea4493-68f5-4449-97db-0f12b8b01391','Col':4,'Row':20,'Format':'string','Value':' ','TargetCode':''}</v>
      </c>
    </row>
    <row r="458" spans="1:1" x14ac:dyDescent="0.2">
      <c r="A458" t="str">
        <f>CONCATENATE("{'SheetId':'3e581ecb-e1ed-4032-860d-3455498c25df'",",","'UId':'9f67f85f-4c8d-410a-81a0-94e34fbdd954'",",'Col':",COLUMN(BCHDVay_GDMuaBanLai!E20),",'Row':",ROW(BCHDVay_GDMuaBanLai!E20),",","'Format':'string'",",'Value':'",SUBSTITUTE(BCHDVay_GDMuaBanLai!E20,"'","\'"),"','TargetCode':''}")</f>
        <v>{'SheetId':'3e581ecb-e1ed-4032-860d-3455498c25df','UId':'9f67f85f-4c8d-410a-81a0-94e34fbdd954','Col':5,'Row':20,'Format':'string','Value':' ','TargetCode':''}</v>
      </c>
    </row>
    <row r="459" spans="1:1" x14ac:dyDescent="0.2">
      <c r="A459" t="str">
        <f>CONCATENATE("{'SheetId':'3e581ecb-e1ed-4032-860d-3455498c25df'",",","'UId':'97f23243-4551-427c-8b9b-6a700f53c250'",",'Col':",COLUMN(BCHDVay_GDMuaBanLai!F20),",'Row':",ROW(BCHDVay_GDMuaBanLai!F20),",","'Format':'numberic'",",'Value':'",SUBSTITUTE(BCHDVay_GDMuaBanLai!F20,"'","\'"),"','TargetCode':''}")</f>
        <v>{'SheetId':'3e581ecb-e1ed-4032-860d-3455498c25df','UId':'97f23243-4551-427c-8b9b-6a700f53c250','Col':6,'Row':20,'Format':'numberic','Value':' ','TargetCode':''}</v>
      </c>
    </row>
    <row r="460" spans="1:1" x14ac:dyDescent="0.2">
      <c r="A460" t="str">
        <f>CONCATENATE("{'SheetId':'3e581ecb-e1ed-4032-860d-3455498c25df'",",","'UId':'da981b39-74e0-4ba5-adc1-4664b40a556d'",",'Col':",COLUMN(BCHDVay_GDMuaBanLai!G20),",'Row':",ROW(BCHDVay_GDMuaBanLai!G20),",","'Format':'string'",",'Value':'",SUBSTITUTE(BCHDVay_GDMuaBanLai!G20,"'","\'"),"','TargetCode':''}")</f>
        <v>{'SheetId':'3e581ecb-e1ed-4032-860d-3455498c25df','UId':'da981b39-74e0-4ba5-adc1-4664b40a556d','Col':7,'Row':20,'Format':'string','Value':' ','TargetCode':''}</v>
      </c>
    </row>
    <row r="461" spans="1:1" x14ac:dyDescent="0.2">
      <c r="A461" t="str">
        <f>CONCATENATE("{'SheetId':'3e581ecb-e1ed-4032-860d-3455498c25df'",",","'UId':'8ab7b7db-3e3d-4f53-99e3-fe37e8d5114a'",",'Col':",COLUMN(BCHDVay_GDMuaBanLai!H20),",'Row':",ROW(BCHDVay_GDMuaBanLai!H20),",","'Format':'numberic'",",'Value':'",SUBSTITUTE(BCHDVay_GDMuaBanLai!H20,"'","\'"),"','TargetCode':''}")</f>
        <v>{'SheetId':'3e581ecb-e1ed-4032-860d-3455498c25df','UId':'8ab7b7db-3e3d-4f53-99e3-fe37e8d5114a','Col':8,'Row':20,'Format':'numberic','Value':' ','TargetCode':''}</v>
      </c>
    </row>
    <row r="462" spans="1:1" x14ac:dyDescent="0.2">
      <c r="A462" t="str">
        <f>CONCATENATE("{'SheetId':'3e581ecb-e1ed-4032-860d-3455498c25df'",",","'UId':'706bbb91-dc3d-434d-9a09-598da2654aa8'",",'Col':",COLUMN(BCHDVay_GDMuaBanLai!I20),",'Row':",ROW(BCHDVay_GDMuaBanLai!I20),",","'Format':'string'",",'Value':'",SUBSTITUTE(BCHDVay_GDMuaBanLai!I20,"'","\'"),"','TargetCode':''}")</f>
        <v>{'SheetId':'3e581ecb-e1ed-4032-860d-3455498c25df','UId':'706bbb91-dc3d-434d-9a09-598da2654aa8','Col':9,'Row':20,'Format':'string','Value':' ','TargetCode':''}</v>
      </c>
    </row>
    <row r="463" spans="1:1" x14ac:dyDescent="0.2">
      <c r="A463" t="str">
        <f>CONCATENATE("{'SheetId':'3e581ecb-e1ed-4032-860d-3455498c25df'",",","'UId':'f5e70ff1-484e-47ca-a72f-5c13b4c86abd'",",'Col':",COLUMN(BCHDVay_GDMuaBanLai!J20),",'Row':",ROW(BCHDVay_GDMuaBanLai!J20),",","'Format':'numberic'",",'Value':'",SUBSTITUTE(BCHDVay_GDMuaBanLai!J20,"'","\'"),"','TargetCode':''}")</f>
        <v>{'SheetId':'3e581ecb-e1ed-4032-860d-3455498c25df','UId':'f5e70ff1-484e-47ca-a72f-5c13b4c86abd','Col':10,'Row':20,'Format':'numberic','Value':' ','TargetCode':''}</v>
      </c>
    </row>
    <row r="464" spans="1:1" x14ac:dyDescent="0.2">
      <c r="A464" t="str">
        <f>CONCATENATE("{'SheetId':'a9599f7e-64ae-422a-81eb-430ecdd8d2aa'",",","'UId':'009f4c7a-b032-4a96-8ec5-6d0ace1f1c2f'",",'Col':",COLUMN(Khac_06137!D2),",'Row':",ROW(Khac_06137!D2),",","'Format':'numberic'",",'Value':'",SUBSTITUTE(Khac_06137!D2,"'","\'"),"','TargetCode':''}")</f>
        <v>{'SheetId':'a9599f7e-64ae-422a-81eb-430ecdd8d2aa','UId':'009f4c7a-b032-4a96-8ec5-6d0ace1f1c2f','Col':4,'Row':2,'Format':'numberic','Value':'','TargetCode':''}</v>
      </c>
    </row>
    <row r="465" spans="1:1" x14ac:dyDescent="0.2">
      <c r="A465" t="str">
        <f>CONCATENATE("{'SheetId':'a9599f7e-64ae-422a-81eb-430ecdd8d2aa'",",","'UId':'912139d1-8636-475d-a3f4-6329249be45f'",",'Col':",COLUMN(Khac_06137!E2),",'Row':",ROW(Khac_06137!E2),",","'Format':'numberic'",",'Value':'",SUBSTITUTE(Khac_06137!E2,"'","\'"),"','TargetCode':''}")</f>
        <v>{'SheetId':'a9599f7e-64ae-422a-81eb-430ecdd8d2aa','UId':'912139d1-8636-475d-a3f4-6329249be45f','Col':5,'Row':2,'Format':'numberic','Value':'','TargetCode':''}</v>
      </c>
    </row>
    <row r="466" spans="1:1" x14ac:dyDescent="0.2">
      <c r="A466" t="str">
        <f>CONCATENATE("{'SheetId':'a9599f7e-64ae-422a-81eb-430ecdd8d2aa'",",","'UId':'ea98ff14-6cda-4a4b-a7a5-511cfe5fe61c'",",'Col':",COLUMN(Khac_06137!D3),",'Row':",ROW(Khac_06137!D3),",","'Format':'numberic'",",'Value':'",SUBSTITUTE(Khac_06137!D3,"'","\'"),"','TargetCode':''}")</f>
        <v>{'SheetId':'a9599f7e-64ae-422a-81eb-430ecdd8d2aa','UId':'ea98ff14-6cda-4a4b-a7a5-511cfe5fe61c','Col':4,'Row':3,'Format':'numberic','Value':'0.0065','TargetCode':''}</v>
      </c>
    </row>
    <row r="467" spans="1:1" x14ac:dyDescent="0.2">
      <c r="A467" t="str">
        <f>CONCATENATE("{'SheetId':'a9599f7e-64ae-422a-81eb-430ecdd8d2aa'",",","'UId':'cf018d18-1e84-4126-8523-567af401142f'",",'Col':",COLUMN(Khac_06137!E3),",'Row':",ROW(Khac_06137!E3),",","'Format':'numberic'",",'Value':'",SUBSTITUTE(Khac_06137!E3,"'","\'"),"','TargetCode':''}")</f>
        <v>{'SheetId':'a9599f7e-64ae-422a-81eb-430ecdd8d2aa','UId':'cf018d18-1e84-4126-8523-567af401142f','Col':5,'Row':3,'Format':'numberic','Value':'0.0065','TargetCode':''}</v>
      </c>
    </row>
    <row r="468" spans="1:1" x14ac:dyDescent="0.2">
      <c r="A468" t="str">
        <f>CONCATENATE("{'SheetId':'a9599f7e-64ae-422a-81eb-430ecdd8d2aa'",",","'UId':'c06b42e6-78aa-4a4b-a977-49aadfa7feb4'",",'Col':",COLUMN(Khac_06137!D4),",'Row':",ROW(Khac_06137!D4),",","'Format':'numberic'",",'Value':'",SUBSTITUTE(Khac_06137!D4,"'","\'"),"','TargetCode':''}")</f>
        <v>{'SheetId':'a9599f7e-64ae-422a-81eb-430ecdd8d2aa','UId':'c06b42e6-78aa-4a4b-a977-49aadfa7feb4','Col':4,'Row':4,'Format':'numberic','Value':'0.005','TargetCode':''}</v>
      </c>
    </row>
    <row r="469" spans="1:1" x14ac:dyDescent="0.2">
      <c r="A469" t="str">
        <f>CONCATENATE("{'SheetId':'a9599f7e-64ae-422a-81eb-430ecdd8d2aa'",",","'UId':'6f5a2062-e979-4033-8f79-72323da17158'",",'Col':",COLUMN(Khac_06137!E4),",'Row':",ROW(Khac_06137!E4),",","'Format':'numberic'",",'Value':'",SUBSTITUTE(Khac_06137!E4,"'","\'"),"','TargetCode':''}")</f>
        <v>{'SheetId':'a9599f7e-64ae-422a-81eb-430ecdd8d2aa','UId':'6f5a2062-e979-4033-8f79-72323da17158','Col':5,'Row':4,'Format':'numberic','Value':'0.0046','TargetCode':''}</v>
      </c>
    </row>
    <row r="470" spans="1:1" x14ac:dyDescent="0.2">
      <c r="A470" t="str">
        <f>CONCATENATE("{'SheetId':'a9599f7e-64ae-422a-81eb-430ecdd8d2aa'",",","'UId':'ed44b08b-fe13-4070-b7e2-028befd34f3d'",",'Col':",COLUMN(Khac_06137!D5),",'Row':",ROW(Khac_06137!D5),",","'Format':'numberic'",",'Value':'",SUBSTITUTE(Khac_06137!D5,"'","\'"),"','TargetCode':''}")</f>
        <v>{'SheetId':'a9599f7e-64ae-422a-81eb-430ecdd8d2aa','UId':'ed44b08b-fe13-4070-b7e2-028befd34f3d','Col':4,'Row':5,'Format':'numberic','Value':'0.0067','TargetCode':''}</v>
      </c>
    </row>
    <row r="471" spans="1:1" x14ac:dyDescent="0.2">
      <c r="A471" t="str">
        <f>CONCATENATE("{'SheetId':'a9599f7e-64ae-422a-81eb-430ecdd8d2aa'",",","'UId':'07d1371c-c5d2-46d4-8b5c-b8407c6c36cc'",",'Col':",COLUMN(Khac_06137!E5),",'Row':",ROW(Khac_06137!E5),",","'Format':'numberic'",",'Value':'",SUBSTITUTE(Khac_06137!E5,"'","\'"),"','TargetCode':''}")</f>
        <v>{'SheetId':'a9599f7e-64ae-422a-81eb-430ecdd8d2aa','UId':'07d1371c-c5d2-46d4-8b5c-b8407c6c36cc','Col':5,'Row':5,'Format':'numberic','Value':'0.0063','TargetCode':''}</v>
      </c>
    </row>
    <row r="472" spans="1:1" x14ac:dyDescent="0.2">
      <c r="A472" t="str">
        <f>CONCATENATE("{'SheetId':'a9599f7e-64ae-422a-81eb-430ecdd8d2aa'",",","'UId':'7b7eba98-bccd-402b-b6f3-8b48081c89ee'",",'Col':",COLUMN(Khac_06137!D6),",'Row':",ROW(Khac_06137!D6),",","'Format':'numberic'",",'Value':'",SUBSTITUTE(Khac_06137!D6,"'","\'"),"','TargetCode':''}")</f>
        <v>{'SheetId':'a9599f7e-64ae-422a-81eb-430ecdd8d2aa','UId':'7b7eba98-bccd-402b-b6f3-8b48081c89ee','Col':4,'Row':6,'Format':'numberic','Value':'0.0013','TargetCode':''}</v>
      </c>
    </row>
    <row r="473" spans="1:1" x14ac:dyDescent="0.2">
      <c r="A473" t="str">
        <f>CONCATENATE("{'SheetId':'a9599f7e-64ae-422a-81eb-430ecdd8d2aa'",",","'UId':'4461c3a1-7ed5-4f52-b01d-132e28236663'",",'Col':",COLUMN(Khac_06137!E6),",'Row':",ROW(Khac_06137!E6),",","'Format':'numberic'",",'Value':'",SUBSTITUTE(Khac_06137!E6,"'","\'"),"','TargetCode':''}")</f>
        <v>{'SheetId':'a9599f7e-64ae-422a-81eb-430ecdd8d2aa','UId':'4461c3a1-7ed5-4f52-b01d-132e28236663','Col':5,'Row':6,'Format':'numberic','Value':'0.0013','TargetCode':''}</v>
      </c>
    </row>
    <row r="474" spans="1:1" x14ac:dyDescent="0.2">
      <c r="A474" t="str">
        <f>CONCATENATE("{'SheetId':'a9599f7e-64ae-422a-81eb-430ecdd8d2aa'",",","'UId':'cb5c62aa-fb56-4e0e-be11-e6915c65386c'",",'Col':",COLUMN(Khac_06137!D7),",'Row':",ROW(Khac_06137!D7),",","'Format':'numberic'",",'Value':'",SUBSTITUTE(Khac_06137!D7,"'","\'"),"','TargetCode':''}")</f>
        <v>{'SheetId':'a9599f7e-64ae-422a-81eb-430ecdd8d2aa','UId':'cb5c62aa-fb56-4e0e-be11-e6915c65386c','Col':4,'Row':7,'Format':'numberic','Value':'0','TargetCode':''}</v>
      </c>
    </row>
    <row r="475" spans="1:1" x14ac:dyDescent="0.2">
      <c r="A475" t="str">
        <f>CONCATENATE("{'SheetId':'a9599f7e-64ae-422a-81eb-430ecdd8d2aa'",",","'UId':'b222ab15-925d-4f48-b19e-77be426d5db6'",",'Col':",COLUMN(Khac_06137!E7),",'Row':",ROW(Khac_06137!E7),",","'Format':'numberic'",",'Value':'",SUBSTITUTE(Khac_06137!E7,"'","\'"),"','TargetCode':''}")</f>
        <v>{'SheetId':'a9599f7e-64ae-422a-81eb-430ecdd8d2aa','UId':'b222ab15-925d-4f48-b19e-77be426d5db6','Col':5,'Row':7,'Format':'numberic','Value':'0','TargetCode':''}</v>
      </c>
    </row>
    <row r="476" spans="1:1" x14ac:dyDescent="0.2">
      <c r="A476" t="str">
        <f>CONCATENATE("{'SheetId':'a9599f7e-64ae-422a-81eb-430ecdd8d2aa'",",","'UId':'f9f05666-8e6f-4e9c-a1d8-b85a78d01c41'",",'Col':",COLUMN(Khac_06137!D8),",'Row':",ROW(Khac_06137!D8),",","'Format':'numberic'",",'Value':'",SUBSTITUTE(Khac_06137!D8,"'","\'"),"','TargetCode':''}")</f>
        <v>{'SheetId':'a9599f7e-64ae-422a-81eb-430ecdd8d2aa','UId':'f9f05666-8e6f-4e9c-a1d8-b85a78d01c41','Col':4,'Row':8,'Format':'numberic','Value':'0','TargetCode':''}</v>
      </c>
    </row>
    <row r="477" spans="1:1" x14ac:dyDescent="0.2">
      <c r="A477" t="str">
        <f>CONCATENATE("{'SheetId':'a9599f7e-64ae-422a-81eb-430ecdd8d2aa'",",","'UId':'06f4c147-e485-4e86-a84c-33f79ebb6e6f'",",'Col':",COLUMN(Khac_06137!E8),",'Row':",ROW(Khac_06137!E8),",","'Format':'numberic'",",'Value':'",SUBSTITUTE(Khac_06137!E8,"'","\'"),"','TargetCode':''}")</f>
        <v>{'SheetId':'a9599f7e-64ae-422a-81eb-430ecdd8d2aa','UId':'06f4c147-e485-4e86-a84c-33f79ebb6e6f','Col':5,'Row':8,'Format':'numberic','Value':'0','TargetCode':''}</v>
      </c>
    </row>
    <row r="478" spans="1:1" x14ac:dyDescent="0.2">
      <c r="A478" t="str">
        <f>CONCATENATE("{'SheetId':'a9599f7e-64ae-422a-81eb-430ecdd8d2aa'",",","'UId':'a11bb736-d084-4d69-bb2e-25868683e014'",",'Col':",COLUMN(Khac_06137!D9),",'Row':",ROW(Khac_06137!D9),",","'Format':'numberic'",",'Value':'",SUBSTITUTE(Khac_06137!D9,"'","\'"),"','TargetCode':''}")</f>
        <v>{'SheetId':'a9599f7e-64ae-422a-81eb-430ecdd8d2aa','UId':'a11bb736-d084-4d69-bb2e-25868683e014','Col':4,'Row':9,'Format':'numberic','Value':'0.0026','TargetCode':''}</v>
      </c>
    </row>
    <row r="479" spans="1:1" x14ac:dyDescent="0.2">
      <c r="A479" t="str">
        <f>CONCATENATE("{'SheetId':'a9599f7e-64ae-422a-81eb-430ecdd8d2aa'",",","'UId':'3fc2ab12-eb6e-42d4-b40b-f47b3a05b25e'",",'Col':",COLUMN(Khac_06137!E9),",'Row':",ROW(Khac_06137!E9),",","'Format':'numberic'",",'Value':'",SUBSTITUTE(Khac_06137!E9,"'","\'"),"','TargetCode':''}")</f>
        <v>{'SheetId':'a9599f7e-64ae-422a-81eb-430ecdd8d2aa','UId':'3fc2ab12-eb6e-42d4-b40b-f47b3a05b25e','Col':5,'Row':9,'Format':'numberic','Value':'0.003','TargetCode':''}</v>
      </c>
    </row>
    <row r="480" spans="1:1" x14ac:dyDescent="0.2">
      <c r="A480" t="str">
        <f>CONCATENATE("{'SheetId':'a9599f7e-64ae-422a-81eb-430ecdd8d2aa'",",","'UId':'88b4059e-839d-42bb-b977-94e108c37f0b'",",'Col':",COLUMN(Khac_06137!D10),",'Row':",ROW(Khac_06137!D10),",","'Format':'numberic'",",'Value':'",SUBSTITUTE(Khac_06137!D10,"'","\'"),"','TargetCode':''}")</f>
        <v>{'SheetId':'a9599f7e-64ae-422a-81eb-430ecdd8d2aa','UId':'88b4059e-839d-42bb-b977-94e108c37f0b','Col':4,'Row':10,'Format':'numberic','Value':'0.0221','TargetCode':''}</v>
      </c>
    </row>
    <row r="481" spans="1:1" x14ac:dyDescent="0.2">
      <c r="A481" t="str">
        <f>CONCATENATE("{'SheetId':'a9599f7e-64ae-422a-81eb-430ecdd8d2aa'",",","'UId':'c25cbee1-b1c0-4380-a416-fe975b90f467'",",'Col':",COLUMN(Khac_06137!E10),",'Row':",ROW(Khac_06137!E10),",","'Format':'numberic'",",'Value':'",SUBSTITUTE(Khac_06137!E10,"'","\'"),"','TargetCode':''}")</f>
        <v>{'SheetId':'a9599f7e-64ae-422a-81eb-430ecdd8d2aa','UId':'c25cbee1-b1c0-4380-a416-fe975b90f467','Col':5,'Row':10,'Format':'numberic','Value':'0.0217','TargetCode':''}</v>
      </c>
    </row>
    <row r="482" spans="1:1" x14ac:dyDescent="0.2">
      <c r="A482" t="str">
        <f>CONCATENATE("{'SheetId':'a9599f7e-64ae-422a-81eb-430ecdd8d2aa'",",","'UId':'4912c604-9403-49a0-b534-3aa3d5d122e2'",",'Col':",COLUMN(Khac_06137!D11),",'Row':",ROW(Khac_06137!D11),",","'Format':'numberic'",",'Value':'",SUBSTITUTE(Khac_06137!D11,"'","\'"),"','TargetCode':''}")</f>
        <v>{'SheetId':'a9599f7e-64ae-422a-81eb-430ecdd8d2aa','UId':'4912c604-9403-49a0-b534-3aa3d5d122e2','Col':4,'Row':11,'Format':'numberic','Value':'0','TargetCode':''}</v>
      </c>
    </row>
    <row r="483" spans="1:1" x14ac:dyDescent="0.2">
      <c r="A483" t="str">
        <f>CONCATENATE("{'SheetId':'a9599f7e-64ae-422a-81eb-430ecdd8d2aa'",",","'UId':'c3303151-5369-462c-a7a7-2746e655cbbf'",",'Col':",COLUMN(Khac_06137!E11),",'Row':",ROW(Khac_06137!E11),",","'Format':'numberic'",",'Value':'",SUBSTITUTE(Khac_06137!E11,"'","\'"),"','TargetCode':''}")</f>
        <v>{'SheetId':'a9599f7e-64ae-422a-81eb-430ecdd8d2aa','UId':'c3303151-5369-462c-a7a7-2746e655cbbf','Col':5,'Row':11,'Format':'numberic','Value':'0','TargetCode':''}</v>
      </c>
    </row>
    <row r="484" spans="1:1" x14ac:dyDescent="0.2">
      <c r="A484" t="str">
        <f>CONCATENATE("{'SheetId':'a9599f7e-64ae-422a-81eb-430ecdd8d2aa'",",","'UId':'07f17750-f09a-4031-a12d-fc8035c9a6b1'",",'Col':",COLUMN(Khac_06137!D12),",'Row':",ROW(Khac_06137!D12),",","'Format':'numberic'",",'Value':'",SUBSTITUTE(Khac_06137!D12,"'","\'"),"','TargetCode':''}")</f>
        <v>{'SheetId':'a9599f7e-64ae-422a-81eb-430ecdd8d2aa','UId':'07f17750-f09a-4031-a12d-fc8035c9a6b1','Col':4,'Row':12,'Format':'numberic','Value':'0','TargetCode':''}</v>
      </c>
    </row>
    <row r="485" spans="1:1" x14ac:dyDescent="0.2">
      <c r="A485" t="str">
        <f>CONCATENATE("{'SheetId':'a9599f7e-64ae-422a-81eb-430ecdd8d2aa'",",","'UId':'31752c89-a2a2-4ebb-bb8b-7f4390aa9776'",",'Col':",COLUMN(Khac_06137!E12),",'Row':",ROW(Khac_06137!E12),",","'Format':'numberic'",",'Value':'",SUBSTITUTE(Khac_06137!E12,"'","\'"),"','TargetCode':''}")</f>
        <v>{'SheetId':'a9599f7e-64ae-422a-81eb-430ecdd8d2aa','UId':'31752c89-a2a2-4ebb-bb8b-7f4390aa9776','Col':5,'Row':12,'Format':'numberic','Value':'0','TargetCode':''}</v>
      </c>
    </row>
    <row r="486" spans="1:1" x14ac:dyDescent="0.2">
      <c r="A486" t="str">
        <f>CONCATENATE("{'SheetId':'a9599f7e-64ae-422a-81eb-430ecdd8d2aa'",",","'UId':'38a67e2c-dcba-4399-95a8-6dff53023781'",",'Col':",COLUMN(Khac_06137!D13),",'Row':",ROW(Khac_06137!D13),",","'Format':'numberic'",",'Value':'",SUBSTITUTE(Khac_06137!D13,"'","\'"),"','TargetCode':''}")</f>
        <v>{'SheetId':'a9599f7e-64ae-422a-81eb-430ecdd8d2aa','UId':'38a67e2c-dcba-4399-95a8-6dff53023781','Col':4,'Row':13,'Format':'numberic','Value':'','TargetCode':''}</v>
      </c>
    </row>
    <row r="487" spans="1:1" x14ac:dyDescent="0.2">
      <c r="A487" t="str">
        <f>CONCATENATE("{'SheetId':'a9599f7e-64ae-422a-81eb-430ecdd8d2aa'",",","'UId':'e8f6de5f-d5fd-4923-bfbf-442fb481f524'",",'Col':",COLUMN(Khac_06137!E13),",'Row':",ROW(Khac_06137!E13),",","'Format':'numberic'",",'Value':'",SUBSTITUTE(Khac_06137!E13,"'","\'"),"','TargetCode':''}")</f>
        <v>{'SheetId':'a9599f7e-64ae-422a-81eb-430ecdd8d2aa','UId':'e8f6de5f-d5fd-4923-bfbf-442fb481f524','Col':5,'Row':13,'Format':'numberic','Value':'','TargetCode':''}</v>
      </c>
    </row>
    <row r="488" spans="1:1" x14ac:dyDescent="0.2">
      <c r="A488" t="str">
        <f>CONCATENATE("{'SheetId':'a9599f7e-64ae-422a-81eb-430ecdd8d2aa'",",","'UId':'78c2300c-a492-4ff6-9980-7d52a99cc2cc'",",'Col':",COLUMN(Khac_06137!D14),",'Row':",ROW(Khac_06137!D14),",","'Format':'numberic'",",'Value':'",SUBSTITUTE(Khac_06137!D14,"'","\'"),"','TargetCode':''}")</f>
        <v>{'SheetId':'a9599f7e-64ae-422a-81eb-430ecdd8d2aa','UId':'78c2300c-a492-4ff6-9980-7d52a99cc2cc','Col':4,'Row':14,'Format':'numberic','Value':'56000000000','TargetCode':''}</v>
      </c>
    </row>
    <row r="489" spans="1:1" x14ac:dyDescent="0.2">
      <c r="A489" t="str">
        <f>CONCATENATE("{'SheetId':'a9599f7e-64ae-422a-81eb-430ecdd8d2aa'",",","'UId':'d4c94dcf-488f-4119-83e9-223335cbd256'",",'Col':",COLUMN(Khac_06137!E14),",'Row':",ROW(Khac_06137!E14),",","'Format':'numberic'",",'Value':'",SUBSTITUTE(Khac_06137!E14,"'","\'"),"','TargetCode':''}")</f>
        <v>{'SheetId':'a9599f7e-64ae-422a-81eb-430ecdd8d2aa','UId':'d4c94dcf-488f-4119-83e9-223335cbd256','Col':5,'Row':14,'Format':'numberic','Value':'56000000000','TargetCode':''}</v>
      </c>
    </row>
    <row r="490" spans="1:1" x14ac:dyDescent="0.2">
      <c r="A490" t="str">
        <f>CONCATENATE("{'SheetId':'a9599f7e-64ae-422a-81eb-430ecdd8d2aa'",",","'UId':'4764e585-8b23-4da1-9c3b-87eb36418990'",",'Col':",COLUMN(Khac_06137!D15),",'Row':",ROW(Khac_06137!D15),",","'Format':'numberic'",",'Value':'",SUBSTITUTE(Khac_06137!D15,"'","\'"),"','TargetCode':''}")</f>
        <v>{'SheetId':'a9599f7e-64ae-422a-81eb-430ecdd8d2aa','UId':'4764e585-8b23-4da1-9c3b-87eb36418990','Col':4,'Row':15,'Format':'numberic','Value':'56000000000','TargetCode':''}</v>
      </c>
    </row>
    <row r="491" spans="1:1" x14ac:dyDescent="0.2">
      <c r="A491" t="str">
        <f>CONCATENATE("{'SheetId':'a9599f7e-64ae-422a-81eb-430ecdd8d2aa'",",","'UId':'c159b048-dd38-4fff-8cf0-ad0ab0a9eabb'",",'Col':",COLUMN(Khac_06137!E15),",'Row':",ROW(Khac_06137!E15),",","'Format':'numberic'",",'Value':'",SUBSTITUTE(Khac_06137!E15,"'","\'"),"','TargetCode':''}")</f>
        <v>{'SheetId':'a9599f7e-64ae-422a-81eb-430ecdd8d2aa','UId':'c159b048-dd38-4fff-8cf0-ad0ab0a9eabb','Col':5,'Row':15,'Format':'numberic','Value':'56000000000','TargetCode':''}</v>
      </c>
    </row>
    <row r="492" spans="1:1" x14ac:dyDescent="0.2">
      <c r="A492" t="str">
        <f>CONCATENATE("{'SheetId':'a9599f7e-64ae-422a-81eb-430ecdd8d2aa'",",","'UId':'532ba909-6666-42b1-9265-6c1469e3132e'",",'Col':",COLUMN(Khac_06137!D16),",'Row':",ROW(Khac_06137!D16),",","'Format':'numberic'",",'Value':'",SUBSTITUTE(Khac_06137!D16,"'","\'"),"','TargetCode':''}")</f>
        <v>{'SheetId':'a9599f7e-64ae-422a-81eb-430ecdd8d2aa','UId':'532ba909-6666-42b1-9265-6c1469e3132e','Col':4,'Row':16,'Format':'numberic','Value':'5600000','TargetCode':''}</v>
      </c>
    </row>
    <row r="493" spans="1:1" x14ac:dyDescent="0.2">
      <c r="A493" t="str">
        <f>CONCATENATE("{'SheetId':'a9599f7e-64ae-422a-81eb-430ecdd8d2aa'",",","'UId':'19bdcb36-189d-43d3-b2cb-5a8b78e61f85'",",'Col':",COLUMN(Khac_06137!E16),",'Row':",ROW(Khac_06137!E16),",","'Format':'numberic'",",'Value':'",SUBSTITUTE(Khac_06137!E16,"'","\'"),"','TargetCode':''}")</f>
        <v>{'SheetId':'a9599f7e-64ae-422a-81eb-430ecdd8d2aa','UId':'19bdcb36-189d-43d3-b2cb-5a8b78e61f85','Col':5,'Row':16,'Format':'numberic','Value':'5600000','TargetCode':''}</v>
      </c>
    </row>
    <row r="494" spans="1:1" x14ac:dyDescent="0.2">
      <c r="A494" t="str">
        <f>CONCATENATE("{'SheetId':'a9599f7e-64ae-422a-81eb-430ecdd8d2aa'",",","'UId':'1c36a9df-5d06-4d1e-b8ea-1ff5b014556d'",",'Col':",COLUMN(Khac_06137!D17),",'Row':",ROW(Khac_06137!D17),",","'Format':'numberic'",",'Value':'",SUBSTITUTE(Khac_06137!D17,"'","\'"),"','TargetCode':''}")</f>
        <v>{'SheetId':'a9599f7e-64ae-422a-81eb-430ecdd8d2aa','UId':'1c36a9df-5d06-4d1e-b8ea-1ff5b014556d','Col':4,'Row':17,'Format':'numberic','Value':'0','TargetCode':''}</v>
      </c>
    </row>
    <row r="495" spans="1:1" x14ac:dyDescent="0.2">
      <c r="A495" t="str">
        <f>CONCATENATE("{'SheetId':'a9599f7e-64ae-422a-81eb-430ecdd8d2aa'",",","'UId':'38f19943-7a7b-4361-b6e2-5704f4dc9725'",",'Col':",COLUMN(Khac_06137!E17),",'Row':",ROW(Khac_06137!E17),",","'Format':'numberic'",",'Value':'",SUBSTITUTE(Khac_06137!E17,"'","\'"),"','TargetCode':''}")</f>
        <v>{'SheetId':'a9599f7e-64ae-422a-81eb-430ecdd8d2aa','UId':'38f19943-7a7b-4361-b6e2-5704f4dc9725','Col':5,'Row':17,'Format':'numberic','Value':'0','TargetCode':''}</v>
      </c>
    </row>
    <row r="496" spans="1:1" x14ac:dyDescent="0.2">
      <c r="A496" t="str">
        <f>CONCATENATE("{'SheetId':'a9599f7e-64ae-422a-81eb-430ecdd8d2aa'",",","'UId':'842ef3d5-cd55-4021-92ef-96190e016435'",",'Col':",COLUMN(Khac_06137!D18),",'Row':",ROW(Khac_06137!D18),",","'Format':'numberic'",",'Value':'",SUBSTITUTE(Khac_06137!D18,"'","\'"),"','TargetCode':''}")</f>
        <v>{'SheetId':'a9599f7e-64ae-422a-81eb-430ecdd8d2aa','UId':'842ef3d5-cd55-4021-92ef-96190e016435','Col':4,'Row':18,'Format':'numberic','Value':'0','TargetCode':''}</v>
      </c>
    </row>
    <row r="497" spans="1:1" x14ac:dyDescent="0.2">
      <c r="A497" t="str">
        <f>CONCATENATE("{'SheetId':'a9599f7e-64ae-422a-81eb-430ecdd8d2aa'",",","'UId':'7596e000-e940-44bf-bc2e-2735d05d7f72'",",'Col':",COLUMN(Khac_06137!E18),",'Row':",ROW(Khac_06137!E18),",","'Format':'numberic'",",'Value':'",SUBSTITUTE(Khac_06137!E18,"'","\'"),"','TargetCode':''}")</f>
        <v>{'SheetId':'a9599f7e-64ae-422a-81eb-430ecdd8d2aa','UId':'7596e000-e940-44bf-bc2e-2735d05d7f72','Col':5,'Row':18,'Format':'numberic','Value':'0','TargetCode':''}</v>
      </c>
    </row>
    <row r="498" spans="1:1" x14ac:dyDescent="0.2">
      <c r="A498" t="str">
        <f>CONCATENATE("{'SheetId':'a9599f7e-64ae-422a-81eb-430ecdd8d2aa'",",","'UId':'db37ac84-caf8-416e-a18a-1c336f8c91d4'",",'Col':",COLUMN(Khac_06137!D19),",'Row':",ROW(Khac_06137!D19),",","'Format':'numberic'",",'Value':'",SUBSTITUTE(Khac_06137!D19,"'","\'"),"','TargetCode':''}")</f>
        <v>{'SheetId':'a9599f7e-64ae-422a-81eb-430ecdd8d2aa','UId':'db37ac84-caf8-416e-a18a-1c336f8c91d4','Col':4,'Row':19,'Format':'numberic','Value':'0','TargetCode':''}</v>
      </c>
    </row>
    <row r="499" spans="1:1" x14ac:dyDescent="0.2">
      <c r="A499" t="str">
        <f>CONCATENATE("{'SheetId':'a9599f7e-64ae-422a-81eb-430ecdd8d2aa'",",","'UId':'dcf16a38-7e33-49ba-9db2-f2b6cc5cff67'",",'Col':",COLUMN(Khac_06137!E19),",'Row':",ROW(Khac_06137!E19),",","'Format':'numberic'",",'Value':'",SUBSTITUTE(Khac_06137!E19,"'","\'"),"','TargetCode':''}")</f>
        <v>{'SheetId':'a9599f7e-64ae-422a-81eb-430ecdd8d2aa','UId':'dcf16a38-7e33-49ba-9db2-f2b6cc5cff67','Col':5,'Row':19,'Format':'numberic','Value':'0','TargetCode':''}</v>
      </c>
    </row>
    <row r="500" spans="1:1" x14ac:dyDescent="0.2">
      <c r="A500" t="str">
        <f>CONCATENATE("{'SheetId':'a9599f7e-64ae-422a-81eb-430ecdd8d2aa'",",","'UId':'bd8fd9c5-7f60-478d-94db-0f58ff2823bb'",",'Col':",COLUMN(Khac_06137!D20),",'Row':",ROW(Khac_06137!D20),",","'Format':'numberic'",",'Value':'",SUBSTITUTE(Khac_06137!D20,"'","\'"),"','TargetCode':''}")</f>
        <v>{'SheetId':'a9599f7e-64ae-422a-81eb-430ecdd8d2aa','UId':'bd8fd9c5-7f60-478d-94db-0f58ff2823bb','Col':4,'Row':20,'Format':'numberic','Value':'0','TargetCode':''}</v>
      </c>
    </row>
    <row r="501" spans="1:1" x14ac:dyDescent="0.2">
      <c r="A501" t="str">
        <f>CONCATENATE("{'SheetId':'a9599f7e-64ae-422a-81eb-430ecdd8d2aa'",",","'UId':'12c123bc-a616-4cc5-aa25-90df772dc03e'",",'Col':",COLUMN(Khac_06137!E20),",'Row':",ROW(Khac_06137!E20),",","'Format':'numberic'",",'Value':'",SUBSTITUTE(Khac_06137!E20,"'","\'"),"','TargetCode':''}")</f>
        <v>{'SheetId':'a9599f7e-64ae-422a-81eb-430ecdd8d2aa','UId':'12c123bc-a616-4cc5-aa25-90df772dc03e','Col':5,'Row':20,'Format':'numberic','Value':'0','TargetCode':''}</v>
      </c>
    </row>
    <row r="502" spans="1:1" x14ac:dyDescent="0.2">
      <c r="A502" t="str">
        <f>CONCATENATE("{'SheetId':'a9599f7e-64ae-422a-81eb-430ecdd8d2aa'",",","'UId':'03e68a54-2dcd-4fca-a833-41b07f22709d'",",'Col':",COLUMN(Khac_06137!D21),",'Row':",ROW(Khac_06137!D21),",","'Format':'numberic'",",'Value':'",SUBSTITUTE(Khac_06137!D21,"'","\'"),"','TargetCode':''}")</f>
        <v>{'SheetId':'a9599f7e-64ae-422a-81eb-430ecdd8d2aa','UId':'03e68a54-2dcd-4fca-a833-41b07f22709d','Col':4,'Row':21,'Format':'numberic','Value':'0','TargetCode':''}</v>
      </c>
    </row>
    <row r="503" spans="1:1" x14ac:dyDescent="0.2">
      <c r="A503" t="str">
        <f>CONCATENATE("{'SheetId':'a9599f7e-64ae-422a-81eb-430ecdd8d2aa'",",","'UId':'2ac60d83-3c95-49cc-918a-fcf2f652ea0c'",",'Col':",COLUMN(Khac_06137!E21),",'Row':",ROW(Khac_06137!E21),",","'Format':'numberic'",",'Value':'",SUBSTITUTE(Khac_06137!E21,"'","\'"),"','TargetCode':''}")</f>
        <v>{'SheetId':'a9599f7e-64ae-422a-81eb-430ecdd8d2aa','UId':'2ac60d83-3c95-49cc-918a-fcf2f652ea0c','Col':5,'Row':21,'Format':'numberic','Value':'0','TargetCode':''}</v>
      </c>
    </row>
    <row r="504" spans="1:1" x14ac:dyDescent="0.2">
      <c r="A504" t="str">
        <f>CONCATENATE("{'SheetId':'a9599f7e-64ae-422a-81eb-430ecdd8d2aa'",",","'UId':'654f3b10-b96d-4b48-bb83-07835084ac22'",",'Col':",COLUMN(Khac_06137!D22),",'Row':",ROW(Khac_06137!D22),",","'Format':'numberic'",",'Value':'",SUBSTITUTE(Khac_06137!D22,"'","\'"),"','TargetCode':''}")</f>
        <v>{'SheetId':'a9599f7e-64ae-422a-81eb-430ecdd8d2aa','UId':'654f3b10-b96d-4b48-bb83-07835084ac22','Col':4,'Row':22,'Format':'numberic','Value':'56000000000','TargetCode':''}</v>
      </c>
    </row>
    <row r="505" spans="1:1" x14ac:dyDescent="0.2">
      <c r="A505" t="str">
        <f>CONCATENATE("{'SheetId':'a9599f7e-64ae-422a-81eb-430ecdd8d2aa'",",","'UId':'36113496-0883-4ae6-aa80-f308204ae23b'",",'Col':",COLUMN(Khac_06137!E22),",'Row':",ROW(Khac_06137!E22),",","'Format':'numberic'",",'Value':'",SUBSTITUTE(Khac_06137!E22,"'","\'"),"','TargetCode':''}")</f>
        <v>{'SheetId':'a9599f7e-64ae-422a-81eb-430ecdd8d2aa','UId':'36113496-0883-4ae6-aa80-f308204ae23b','Col':5,'Row':22,'Format':'numberic','Value':'56000000000','TargetCode':''}</v>
      </c>
    </row>
    <row r="506" spans="1:1" x14ac:dyDescent="0.2">
      <c r="A506" t="str">
        <f>CONCATENATE("{'SheetId':'a9599f7e-64ae-422a-81eb-430ecdd8d2aa'",",","'UId':'d0c3d4cb-fbed-47c6-ba5b-c4192f2076c2'",",'Col':",COLUMN(Khac_06137!D23),",'Row':",ROW(Khac_06137!D23),",","'Format':'numberic'",",'Value':'",SUBSTITUTE(Khac_06137!D23,"'","\'"),"','TargetCode':''}")</f>
        <v>{'SheetId':'a9599f7e-64ae-422a-81eb-430ecdd8d2aa','UId':'d0c3d4cb-fbed-47c6-ba5b-c4192f2076c2','Col':4,'Row':23,'Format':'numberic','Value':'56000000000','TargetCode':''}</v>
      </c>
    </row>
    <row r="507" spans="1:1" x14ac:dyDescent="0.2">
      <c r="A507" t="str">
        <f>CONCATENATE("{'SheetId':'a9599f7e-64ae-422a-81eb-430ecdd8d2aa'",",","'UId':'6975d4e6-92e4-43eb-b1ef-93736ccc1d4e'",",'Col':",COLUMN(Khac_06137!E23),",'Row':",ROW(Khac_06137!E23),",","'Format':'numberic'",",'Value':'",SUBSTITUTE(Khac_06137!E23,"'","\'"),"','TargetCode':''}")</f>
        <v>{'SheetId':'a9599f7e-64ae-422a-81eb-430ecdd8d2aa','UId':'6975d4e6-92e4-43eb-b1ef-93736ccc1d4e','Col':5,'Row':23,'Format':'numberic','Value':'56000000000','TargetCode':''}</v>
      </c>
    </row>
    <row r="508" spans="1:1" x14ac:dyDescent="0.2">
      <c r="A508" t="str">
        <f>CONCATENATE("{'SheetId':'a9599f7e-64ae-422a-81eb-430ecdd8d2aa'",",","'UId':'50f8b8cc-0126-4781-a8b5-05dbb9c26c7b'",",'Col':",COLUMN(Khac_06137!D24),",'Row':",ROW(Khac_06137!D24),",","'Format':'numberic'",",'Value':'",SUBSTITUTE(Khac_06137!D24,"'","\'"),"','TargetCode':''}")</f>
        <v>{'SheetId':'a9599f7e-64ae-422a-81eb-430ecdd8d2aa','UId':'50f8b8cc-0126-4781-a8b5-05dbb9c26c7b','Col':4,'Row':24,'Format':'numberic','Value':'5600000','TargetCode':''}</v>
      </c>
    </row>
    <row r="509" spans="1:1" x14ac:dyDescent="0.2">
      <c r="A509" t="str">
        <f>CONCATENATE("{'SheetId':'a9599f7e-64ae-422a-81eb-430ecdd8d2aa'",",","'UId':'559be090-5eec-4ed9-8156-8454d553866e'",",'Col':",COLUMN(Khac_06137!E24),",'Row':",ROW(Khac_06137!E24),",","'Format':'numberic'",",'Value':'",SUBSTITUTE(Khac_06137!E24,"'","\'"),"','TargetCode':''}")</f>
        <v>{'SheetId':'a9599f7e-64ae-422a-81eb-430ecdd8d2aa','UId':'559be090-5eec-4ed9-8156-8454d553866e','Col':5,'Row':24,'Format':'numberic','Value':'5600000','TargetCode':''}</v>
      </c>
    </row>
    <row r="510" spans="1:1" x14ac:dyDescent="0.2">
      <c r="A510" t="str">
        <f>CONCATENATE("{'SheetId':'a9599f7e-64ae-422a-81eb-430ecdd8d2aa'",",","'UId':'b5162396-a79c-44a1-b594-4c1a225615b2'",",'Col':",COLUMN(Khac_06137!D25),",'Row':",ROW(Khac_06137!D25),",","'Format':'numberic'",",'Value':'",SUBSTITUTE(Khac_06137!D25,"'","\'"),"','TargetCode':''}")</f>
        <v>{'SheetId':'a9599f7e-64ae-422a-81eb-430ecdd8d2aa','UId':'b5162396-a79c-44a1-b594-4c1a225615b2','Col':4,'Row':25,'Format':'numberic','Value':'0.8578','TargetCode':''}</v>
      </c>
    </row>
    <row r="511" spans="1:1" x14ac:dyDescent="0.2">
      <c r="A511" t="str">
        <f>CONCATENATE("{'SheetId':'a9599f7e-64ae-422a-81eb-430ecdd8d2aa'",",","'UId':'108ea4c4-c7d7-451d-b4ec-09fd8362dbd6'",",'Col':",COLUMN(Khac_06137!E25),",'Row':",ROW(Khac_06137!E25),",","'Format':'numberic'",",'Value':'",SUBSTITUTE(Khac_06137!E25,"'","\'"),"','TargetCode':''}")</f>
        <v>{'SheetId':'a9599f7e-64ae-422a-81eb-430ecdd8d2aa','UId':'108ea4c4-c7d7-451d-b4ec-09fd8362dbd6','Col':5,'Row':25,'Format':'numberic','Value':'0.8578','TargetCode':''}</v>
      </c>
    </row>
    <row r="512" spans="1:1" x14ac:dyDescent="0.2">
      <c r="A512" t="str">
        <f>CONCATENATE("{'SheetId':'a9599f7e-64ae-422a-81eb-430ecdd8d2aa'",",","'UId':'1ee77dc3-451b-4d38-b748-6e0e34671841'",",'Col':",COLUMN(Khac_06137!D26),",'Row':",ROW(Khac_06137!D26),",","'Format':'numberic'",",'Value':'",SUBSTITUTE(Khac_06137!D26,"'","\'"),"','TargetCode':''}")</f>
        <v>{'SheetId':'a9599f7e-64ae-422a-81eb-430ecdd8d2aa','UId':'1ee77dc3-451b-4d38-b748-6e0e34671841','Col':4,'Row':26,'Format':'numberic','Value':'0.9997','TargetCode':''}</v>
      </c>
    </row>
    <row r="513" spans="1:1" x14ac:dyDescent="0.2">
      <c r="A513" t="str">
        <f>CONCATENATE("{'SheetId':'a9599f7e-64ae-422a-81eb-430ecdd8d2aa'",",","'UId':'e407ffe2-fa6b-4898-9885-cd49c7e99229'",",'Col':",COLUMN(Khac_06137!E26),",'Row':",ROW(Khac_06137!E26),",","'Format':'numberic'",",'Value':'",SUBSTITUTE(Khac_06137!E26,"'","\'"),"','TargetCode':''}")</f>
        <v>{'SheetId':'a9599f7e-64ae-422a-81eb-430ecdd8d2aa','UId':'e407ffe2-fa6b-4898-9885-cd49c7e99229','Col':5,'Row':26,'Format':'numberic','Value':'0.9997','TargetCode':''}</v>
      </c>
    </row>
    <row r="514" spans="1:1" x14ac:dyDescent="0.2">
      <c r="A514" t="str">
        <f>CONCATENATE("{'SheetId':'a9599f7e-64ae-422a-81eb-430ecdd8d2aa'",",","'UId':'61d07144-594b-4cb4-b852-fff329d12a4b'",",'Col':",COLUMN(Khac_06137!D27),",'Row':",ROW(Khac_06137!D27),",","'Format':'numberic'",",'Value':'",SUBSTITUTE(Khac_06137!D27,"'","\'"),"','TargetCode':''}")</f>
        <v>{'SheetId':'a9599f7e-64ae-422a-81eb-430ecdd8d2aa','UId':'61d07144-594b-4cb4-b852-fff329d12a4b','Col':4,'Row':27,'Format':'numberic','Value':'0','TargetCode':''}</v>
      </c>
    </row>
    <row r="515" spans="1:1" x14ac:dyDescent="0.2">
      <c r="A515" t="str">
        <f>CONCATENATE("{'SheetId':'a9599f7e-64ae-422a-81eb-430ecdd8d2aa'",",","'UId':'9d599670-1b27-423f-97a6-254f0ad27772'",",'Col':",COLUMN(Khac_06137!E27),",'Row':",ROW(Khac_06137!E27),",","'Format':'numberic'",",'Value':'",SUBSTITUTE(Khac_06137!E27,"'","\'"),"','TargetCode':''}")</f>
        <v>{'SheetId':'a9599f7e-64ae-422a-81eb-430ecdd8d2aa','UId':'9d599670-1b27-423f-97a6-254f0ad27772','Col':5,'Row':27,'Format':'numberic','Value':'0','TargetCode':''}</v>
      </c>
    </row>
    <row r="516" spans="1:1" x14ac:dyDescent="0.2">
      <c r="A516" t="str">
        <f>CONCATENATE("{'SheetId':'a9599f7e-64ae-422a-81eb-430ecdd8d2aa'",",","'UId':'afa08ca1-5847-4307-96bd-ac939fb916df'",",'Col':",COLUMN(Khac_06137!D28),",'Row':",ROW(Khac_06137!D28),",","'Format':'numberic'",",'Value':'",SUBSTITUTE(Khac_06137!D28,"'","\'"),"','TargetCode':''}")</f>
        <v>{'SheetId':'a9599f7e-64ae-422a-81eb-430ecdd8d2aa','UId':'afa08ca1-5847-4307-96bd-ac939fb916df','Col':4,'Row':28,'Format':'numberic','Value':'12234.57','TargetCode':''}</v>
      </c>
    </row>
    <row r="517" spans="1:1" x14ac:dyDescent="0.2">
      <c r="A517" t="str">
        <f>CONCATENATE("{'SheetId':'a9599f7e-64ae-422a-81eb-430ecdd8d2aa'",",","'UId':'d3d966d5-d441-4f94-91f2-c1f006870e7a'",",'Col':",COLUMN(Khac_06137!E28),",'Row':",ROW(Khac_06137!E28),",","'Format':'numberic'",",'Value':'",SUBSTITUTE(Khac_06137!E28,"'","\'"),"','TargetCode':''}")</f>
        <v>{'SheetId':'a9599f7e-64ae-422a-81eb-430ecdd8d2aa','UId':'d3d966d5-d441-4f94-91f2-c1f006870e7a','Col':5,'Row':28,'Format':'numberic','Value':'12276.01','TargetCode':''}</v>
      </c>
    </row>
    <row r="518" spans="1:1" x14ac:dyDescent="0.2">
      <c r="A518" t="str">
        <f>CONCATENATE("{'SheetId':'a9599f7e-64ae-422a-81eb-430ecdd8d2aa'",",","'UId':'2364a51b-51f3-422c-a852-a995692b94c5'",",'Col':",COLUMN(Khac_06137!D29),",'Row':",ROW(Khac_06137!D29),",","'Format':'numberic'",",'Value':'",SUBSTITUTE(Khac_06137!D29,"'","\'"),"','TargetCode':''}")</f>
        <v>{'SheetId':'a9599f7e-64ae-422a-81eb-430ecdd8d2aa','UId':'2364a51b-51f3-422c-a852-a995692b94c5','Col':4,'Row':29,'Format':'numberic','Value':'12280','TargetCode':''}</v>
      </c>
    </row>
    <row r="519" spans="1:1" x14ac:dyDescent="0.2">
      <c r="A519" t="str">
        <f>CONCATENATE("{'SheetId':'a9599f7e-64ae-422a-81eb-430ecdd8d2aa'",",","'UId':'9b895cdb-e849-4b30-8117-2b0bc53aabba'",",'Col':",COLUMN(Khac_06137!E29),",'Row':",ROW(Khac_06137!E29),",","'Format':'numberic'",",'Value':'",SUBSTITUTE(Khac_06137!E29,"'","\'"),"','TargetCode':''}")</f>
        <v>{'SheetId':'a9599f7e-64ae-422a-81eb-430ecdd8d2aa','UId':'9b895cdb-e849-4b30-8117-2b0bc53aabba','Col':5,'Row':29,'Format':'numberic','Value':'11850','TargetCode':''}</v>
      </c>
    </row>
    <row r="520" spans="1:1" x14ac:dyDescent="0.2">
      <c r="A520" t="str">
        <f>CONCATENATE("{'SheetId':'a9599f7e-64ae-422a-81eb-430ecdd8d2aa'",",","'UId':'6cc83745-ae76-4de5-88cf-53669fe27430'",",'Col':",COLUMN(Khac_06137!D30),",'Row':",ROW(Khac_06137!D30),",","'Format':'numberic'",",'Value':'",SUBSTITUTE(Khac_06137!D30,"'","\'"),"','TargetCode':''}")</f>
        <v>{'SheetId':'a9599f7e-64ae-422a-81eb-430ecdd8d2aa','UId':'6cc83745-ae76-4de5-88cf-53669fe27430','Col':4,'Row':30,'Format':'numberic','Value':'28','TargetCode':''}</v>
      </c>
    </row>
    <row r="521" spans="1:1" x14ac:dyDescent="0.2">
      <c r="A521" t="str">
        <f>CONCATENATE("{'SheetId':'a9599f7e-64ae-422a-81eb-430ecdd8d2aa'",",","'UId':'77eafad2-2ae0-4935-8042-ccb52e670505'",",'Col':",COLUMN(Khac_06137!E30),",'Row':",ROW(Khac_06137!E30),",","'Format':'numberic'",",'Value':'",SUBSTITUTE(Khac_06137!E30,"'","\'"),"','TargetCode':''}")</f>
        <v>{'SheetId':'a9599f7e-64ae-422a-81eb-430ecdd8d2aa','UId':'77eafad2-2ae0-4935-8042-ccb52e670505','Col':5,'Row':30,'Format':'numberic','Value':'26','TargetCode':''}</v>
      </c>
    </row>
    <row r="522" spans="1:1" x14ac:dyDescent="0.2">
      <c r="A522" t="str">
        <f>CONCATENATE("{'SheetId':'91bd4a85-3181-4f5c-9a9f-8696046ffb32'",",","'UId':'ff350d47-30a6-4a0d-a6c2-af38f7ac7a53'",",'Col':",COLUMN(ThongKePhiGiaoDich_06145!A5),",'Row':",ROW(ThongKePhiGiaoDich_06145!A5),",","'ColDynamic':",COLUMN(ThongKePhiGiaoDich_06145!A4),",","'RowDynamic':",ROW(ThongKePhiGiaoDich_06145!A4),",","'Format':'string'",",'Value':'",SUBSTITUTE(ThongKePhiGiaoDich_06145!A5,"'","\'"),"','TargetCode':''}")</f>
        <v>{'SheetId':'91bd4a85-3181-4f5c-9a9f-8696046ffb32','UId':'ff350d47-30a6-4a0d-a6c2-af38f7ac7a53','Col':1,'Row':5,'ColDynamic':1,'RowDynamic':4,'Format':'string','Value':'','TargetCode':''}</v>
      </c>
    </row>
    <row r="523" spans="1:1" x14ac:dyDescent="0.2">
      <c r="A523" t="str">
        <f>CONCATENATE("{'SheetId':'91bd4a85-3181-4f5c-9a9f-8696046ffb32'",",","'UId':'2b4d8351-5563-4cff-9323-df87c835e8bf'",",'Col':",COLUMN(ThongKePhiGiaoDich_06145!B5),",'Row':",ROW(ThongKePhiGiaoDich_06145!B5),",","'ColDynamic':",COLUMN(ThongKePhiGiaoDich_06145!B4),",","'RowDynamic':",ROW(ThongKePhiGiaoDich_06145!B4),",","'Format':'string'",",'Value':'",SUBSTITUTE(ThongKePhiGiaoDich_06145!B5,"'","\'"),"','TargetCode':''}")</f>
        <v>{'SheetId':'91bd4a85-3181-4f5c-9a9f-8696046ffb32','UId':'2b4d8351-5563-4cff-9323-df87c835e8bf','Col':2,'Row':5,'ColDynamic':2,'RowDynamic':4,'Format':'string','Value':'Tổng','TargetCode':''}</v>
      </c>
    </row>
    <row r="524" spans="1:1" x14ac:dyDescent="0.2">
      <c r="A524" t="str">
        <f>CONCATENATE("{'SheetId':'91bd4a85-3181-4f5c-9a9f-8696046ffb32'",",","'UId':'80949f12-ca35-4d88-8e9c-7950509ecddf'",",'Col':",COLUMN(ThongKePhiGiaoDich_06145!C5),",'Row':",ROW(ThongKePhiGiaoDich_06145!C5),",","'ColDynamic':",COLUMN(ThongKePhiGiaoDich_06145!C4),",","'RowDynamic':",ROW(ThongKePhiGiaoDich_06145!C4),",","'Format':'string'",",'Value':'",SUBSTITUTE(ThongKePhiGiaoDich_06145!C5,"'","\'"),"','TargetCode':''}")</f>
        <v>{'SheetId':'91bd4a85-3181-4f5c-9a9f-8696046ffb32','UId':'80949f12-ca35-4d88-8e9c-7950509ecddf','Col':3,'Row':5,'ColDynamic':3,'RowDynamic':4,'Format':'string','Value':' ','TargetCode':''}</v>
      </c>
    </row>
    <row r="525" spans="1:1" x14ac:dyDescent="0.2">
      <c r="A525" t="str">
        <f>CONCATENATE("{'SheetId':'91bd4a85-3181-4f5c-9a9f-8696046ffb32'",",","'UId':'9e46bc99-98a3-4a1c-ace7-70a4c932e8cf'",",'Col':",COLUMN(ThongKePhiGiaoDich_06145!D5),",'Row':",ROW(ThongKePhiGiaoDich_06145!D5),",","'ColDynamic':",COLUMN(ThongKePhiGiaoDich_06145!D4),",","'RowDynamic':",ROW(ThongKePhiGiaoDich_06145!D4),",","'Format':'numberic'",",'Value':'",SUBSTITUTE(ThongKePhiGiaoDich_06145!D5,"'","\'"),"','TargetCode':''}")</f>
        <v>{'SheetId':'91bd4a85-3181-4f5c-9a9f-8696046ffb32','UId':'9e46bc99-98a3-4a1c-ace7-70a4c932e8cf','Col':4,'Row':5,'ColDynamic':4,'RowDynamic':4,'Format':'numberic','Value':' ','TargetCode':''}</v>
      </c>
    </row>
    <row r="526" spans="1:1" x14ac:dyDescent="0.2">
      <c r="A526" t="str">
        <f>CONCATENATE("{'SheetId':'91bd4a85-3181-4f5c-9a9f-8696046ffb32'",",","'UId':'e8b856a2-8095-477f-9fe6-351212496af6'",",'Col':",COLUMN(ThongKePhiGiaoDich_06145!E5),",'Row':",ROW(ThongKePhiGiaoDich_06145!E5),",","'ColDynamic':",COLUMN(ThongKePhiGiaoDich_06145!E4),",","'RowDynamic':",ROW(ThongKePhiGiaoDich_06145!E4),",","'Format':'numberic'",",'Value':'",SUBSTITUTE(ThongKePhiGiaoDich_06145!E5,"'","\'"),"','TargetCode':''}")</f>
        <v>{'SheetId':'91bd4a85-3181-4f5c-9a9f-8696046ffb32','UId':'e8b856a2-8095-477f-9fe6-351212496af6','Col':5,'Row':5,'ColDynamic':5,'RowDynamic':4,'Format':'numberic','Value':' ','TargetCode':''}</v>
      </c>
    </row>
    <row r="527" spans="1:1" x14ac:dyDescent="0.2">
      <c r="A527" t="str">
        <f>CONCATENATE("{'SheetId':'91bd4a85-3181-4f5c-9a9f-8696046ffb32'",",","'UId':'f0e0b675-e971-4dbd-be24-4c66aaf2c3b9'",",'Col':",COLUMN(ThongKePhiGiaoDich_06145!F5),",'Row':",ROW(ThongKePhiGiaoDich_06145!F5),",","'ColDynamic':",COLUMN(ThongKePhiGiaoDich_06145!F4),",","'RowDynamic':",ROW(ThongKePhiGiaoDich_06145!F4),",","'Format':'numberic'",",'Value':'",SUBSTITUTE(ThongKePhiGiaoDich_06145!F5,"'","\'"),"','TargetCode':''}")</f>
        <v>{'SheetId':'91bd4a85-3181-4f5c-9a9f-8696046ffb32','UId':'f0e0b675-e971-4dbd-be24-4c66aaf2c3b9','Col':6,'Row':5,'ColDynamic':6,'RowDynamic':4,'Format':'numberic','Value':' ','TargetCode':''}</v>
      </c>
    </row>
    <row r="528" spans="1:1" x14ac:dyDescent="0.2">
      <c r="A528" t="str">
        <f>CONCATENATE("{'SheetId':'91bd4a85-3181-4f5c-9a9f-8696046ffb32'",",","'UId':'a9257236-c85c-4f96-b135-1f0dc1d3d6bb'",",'Col':",COLUMN(ThongKePhiGiaoDich_06145!G5),",'Row':",ROW(ThongKePhiGiaoDich_06145!G5),",","'ColDynamic':",COLUMN(ThongKePhiGiaoDich_06145!G4),",","'RowDynamic':",ROW(ThongKePhiGiaoDich_06145!G4),",","'Format':'numberic'",",'Value':'",SUBSTITUTE(ThongKePhiGiaoDich_06145!G5,"'","\'"),"','TargetCode':''}")</f>
        <v>{'SheetId':'91bd4a85-3181-4f5c-9a9f-8696046ffb32','UId':'a9257236-c85c-4f96-b135-1f0dc1d3d6bb','Col':7,'Row':5,'ColDynamic':7,'RowDynamic':4,'Format':'numberic','Value':' ','TargetCode':''}</v>
      </c>
    </row>
    <row r="529" spans="1:1" x14ac:dyDescent="0.2">
      <c r="A529" t="str">
        <f>CONCATENATE("{'SheetId':'91bd4a85-3181-4f5c-9a9f-8696046ffb32'",",","'UId':'6683d972-28aa-4541-a277-181fd41ca305'",",'Col':",COLUMN(ThongKePhiGiaoDich_06145!H5),",'Row':",ROW(ThongKePhiGiaoDich_06145!H5),",","'ColDynamic':",COLUMN(ThongKePhiGiaoDich_06145!H4),",","'RowDynamic':",ROW(ThongKePhiGiaoDich_06145!H4),",","'Format':'numberic'",",'Value':'",SUBSTITUTE(ThongKePhiGiaoDich_06145!H5,"'","\'"),"','TargetCode':''}")</f>
        <v>{'SheetId':'91bd4a85-3181-4f5c-9a9f-8696046ffb32','UId':'6683d972-28aa-4541-a277-181fd41ca305','Col':8,'Row':5,'ColDynamic':8,'RowDynamic':4,'Format':'numberic','Value':' ','TargetCode':''}</v>
      </c>
    </row>
    <row r="530" spans="1:1" x14ac:dyDescent="0.2">
      <c r="A530" t="str">
        <f>CONCATENATE("{'SheetId':'885cbbdf-539b-4d26-9474-78f8ee9d2e20'",",","'UId':'d0377ef4-14a1-46a8-b883-ec07aab401a0'",",'Col':",COLUMN(TKGD_BDS!C3),",'Row':",ROW(TKGD_BDS!C3),",","'Format':'string'",",'Value':'",SUBSTITUTE(TKGD_BDS!C3,"'","\'"),"','TargetCode':''}")</f>
        <v>{'SheetId':'885cbbdf-539b-4d26-9474-78f8ee9d2e20','UId':'d0377ef4-14a1-46a8-b883-ec07aab401a0','Col':3,'Row':3,'Format':'string','Value':' ','TargetCode':''}</v>
      </c>
    </row>
    <row r="531" spans="1:1" x14ac:dyDescent="0.2">
      <c r="A531" t="str">
        <f>CONCATENATE("{'SheetId':'885cbbdf-539b-4d26-9474-78f8ee9d2e20'",",","'UId':'0f6624bd-8ba8-4224-9945-cbff126c304d'",",'Col':",COLUMN(TKGD_BDS!D3),",'Row':",ROW(TKGD_BDS!D3),",","'Format':'numberic'",",'Value':'",SUBSTITUTE(TKGD_BDS!D3,"'","\'"),"','TargetCode':''}")</f>
        <v>{'SheetId':'885cbbdf-539b-4d26-9474-78f8ee9d2e20','UId':'0f6624bd-8ba8-4224-9945-cbff126c304d','Col':4,'Row':3,'Format':'numberic','Value':' ','TargetCode':''}</v>
      </c>
    </row>
    <row r="532" spans="1:1" x14ac:dyDescent="0.2">
      <c r="A532" t="str">
        <f>CONCATENATE("{'SheetId':'885cbbdf-539b-4d26-9474-78f8ee9d2e20'",",","'UId':'b14dfcd9-be49-4803-a494-c244075477e3'",",'Col':",COLUMN(TKGD_BDS!E3),",'Row':",ROW(TKGD_BDS!E3),",","'Format':'string'",",'Value':'",SUBSTITUTE(TKGD_BDS!E3,"'","\'"),"','TargetCode':''}")</f>
        <v>{'SheetId':'885cbbdf-539b-4d26-9474-78f8ee9d2e20','UId':'b14dfcd9-be49-4803-a494-c244075477e3','Col':5,'Row':3,'Format':'string','Value':' ','TargetCode':''}</v>
      </c>
    </row>
    <row r="533" spans="1:1" x14ac:dyDescent="0.2">
      <c r="A533" t="str">
        <f>CONCATENATE("{'SheetId':'885cbbdf-539b-4d26-9474-78f8ee9d2e20'",",","'UId':'548914cb-dd0c-4f10-b82d-99ea2e669160'",",'Col':",COLUMN(TKGD_BDS!F3),",'Row':",ROW(TKGD_BDS!F3),",","'Format':'string'",",'Value':'",SUBSTITUTE(TKGD_BDS!F3,"'","\'"),"','TargetCode':''}")</f>
        <v>{'SheetId':'885cbbdf-539b-4d26-9474-78f8ee9d2e20','UId':'548914cb-dd0c-4f10-b82d-99ea2e669160','Col':6,'Row':3,'Format':'string','Value':' ','TargetCode':''}</v>
      </c>
    </row>
    <row r="534" spans="1:1" x14ac:dyDescent="0.2">
      <c r="A534" t="str">
        <f>CONCATENATE("{'SheetId':'885cbbdf-539b-4d26-9474-78f8ee9d2e20'",",","'UId':'250f137c-5307-419c-9783-3c8aa1801ea7'",",'Col':",COLUMN(TKGD_BDS!A5),",'Row':",ROW(TKGD_BDS!A5),",","'ColDynamic':",COLUMN(TKGD_BDS!A4),",","'RowDynamic':",ROW(TKGD_BDS!A4),",","'Format':'string'",",'Value':'",SUBSTITUTE(TKGD_BDS!A5,"'","\'"),"','TargetCode':''}")</f>
        <v>{'SheetId':'885cbbdf-539b-4d26-9474-78f8ee9d2e20','UId':'250f137c-5307-419c-9783-3c8aa1801ea7','Col':1,'Row':5,'ColDynamic':1,'RowDynamic':4,'Format':'string','Value':' ','TargetCode':''}</v>
      </c>
    </row>
    <row r="535" spans="1:1" x14ac:dyDescent="0.2">
      <c r="A535" t="str">
        <f>CONCATENATE("{'SheetId':'885cbbdf-539b-4d26-9474-78f8ee9d2e20'",",","'UId':'804b140a-0864-4b1f-baca-24d6f0ff5374'",",'Col':",COLUMN(TKGD_BDS!B5),",'Row':",ROW(TKGD_BDS!B5),",","'ColDynamic':",COLUMN(TKGD_BDS!B4),",","'RowDynamic':",ROW(TKGD_BDS!B4),",","'Format':'string'",",'Value':'",SUBSTITUTE(TKGD_BDS!B5,"'","\'"),"','TargetCode':''}")</f>
        <v>{'SheetId':'885cbbdf-539b-4d26-9474-78f8ee9d2e20','UId':'804b140a-0864-4b1f-baca-24d6f0ff5374','Col':2,'Row':5,'ColDynamic':2,'RowDynamic':4,'Format':'string','Value':' ','TargetCode':''}</v>
      </c>
    </row>
    <row r="536" spans="1:1" x14ac:dyDescent="0.2">
      <c r="A536" t="str">
        <f>CONCATENATE("{'SheetId':'885cbbdf-539b-4d26-9474-78f8ee9d2e20'",",","'UId':'ae344cd3-4341-4c6d-ad9c-eef2f24db825'",",'Col':",COLUMN(TKGD_BDS!C5),",'Row':",ROW(TKGD_BDS!C5),",","'ColDynamic':",COLUMN(TKGD_BDS!C4),",","'RowDynamic':",ROW(TKGD_BDS!C4),",","'Format':'string'",",'Value':'",SUBSTITUTE(TKGD_BDS!C5,"'","\'"),"','TargetCode':''}")</f>
        <v>{'SheetId':'885cbbdf-539b-4d26-9474-78f8ee9d2e20','UId':'ae344cd3-4341-4c6d-ad9c-eef2f24db825','Col':3,'Row':5,'ColDynamic':3,'RowDynamic':4,'Format':'string','Value':' ','TargetCode':''}</v>
      </c>
    </row>
    <row r="537" spans="1:1" x14ac:dyDescent="0.2">
      <c r="A537" t="str">
        <f>CONCATENATE("{'SheetId':'885cbbdf-539b-4d26-9474-78f8ee9d2e20'",",","'UId':'8ccda4db-2179-4a7c-82d8-d9af1ffd41f7'",",'Col':",COLUMN(TKGD_BDS!D5),",'Row':",ROW(TKGD_BDS!D5),",","'ColDynamic':",COLUMN(TKGD_BDS!D4),",","'RowDynamic':",ROW(TKGD_BDS!D4),",","'Format':'numberic'",",'Value':'",SUBSTITUTE(TKGD_BDS!D5,"'","\'"),"','TargetCode':''}")</f>
        <v>{'SheetId':'885cbbdf-539b-4d26-9474-78f8ee9d2e20','UId':'8ccda4db-2179-4a7c-82d8-d9af1ffd41f7','Col':4,'Row':5,'ColDynamic':4,'RowDynamic':4,'Format':'numberic','Value':' ','TargetCode':''}</v>
      </c>
    </row>
    <row r="538" spans="1:1" x14ac:dyDescent="0.2">
      <c r="A538" t="str">
        <f>CONCATENATE("{'SheetId':'885cbbdf-539b-4d26-9474-78f8ee9d2e20'",",","'UId':'9271b33a-e8c1-4c3d-81bc-9ad92cdbe24f'",",'Col':",COLUMN(TKGD_BDS!E5),",'Row':",ROW(TKGD_BDS!E5),",","'ColDynamic':",COLUMN(TKGD_BDS!E4),",","'RowDynamic':",ROW(TKGD_BDS!E4),",","'Format':'string'",",'Value':'",SUBSTITUTE(TKGD_BDS!E5,"'","\'"),"','TargetCode':''}")</f>
        <v>{'SheetId':'885cbbdf-539b-4d26-9474-78f8ee9d2e20','UId':'9271b33a-e8c1-4c3d-81bc-9ad92cdbe24f','Col':5,'Row':5,'ColDynamic':5,'RowDynamic':4,'Format':'string','Value':' ','TargetCode':''}</v>
      </c>
    </row>
    <row r="539" spans="1:1" x14ac:dyDescent="0.2">
      <c r="A539" t="str">
        <f>CONCATENATE("{'SheetId':'885cbbdf-539b-4d26-9474-78f8ee9d2e20'",",","'UId':'90b9592b-9436-473b-9e21-54b230fa4a93'",",'Col':",COLUMN(TKGD_BDS!F5),",'Row':",ROW(TKGD_BDS!F5),",","'ColDynamic':",COLUMN(TKGD_BDS!F4),",","'RowDynamic':",ROW(TKGD_BDS!F4),",","'Format':'string'",",'Value':'",SUBSTITUTE(TKGD_BDS!F5,"'","\'"),"','TargetCode':''}")</f>
        <v>{'SheetId':'885cbbdf-539b-4d26-9474-78f8ee9d2e20','UId':'90b9592b-9436-473b-9e21-54b230fa4a93','Col':6,'Row':5,'ColDynamic':6,'RowDynamic':4,'Format':'string','Value':' ','TargetCode':''}</v>
      </c>
    </row>
    <row r="540" spans="1:1" x14ac:dyDescent="0.2">
      <c r="A540" t="str">
        <f>CONCATENATE("{'SheetId':'885cbbdf-539b-4d26-9474-78f8ee9d2e20'",",","'UId':'eb644110-ec5f-4d39-9dd7-c1142e927ebf'",",'Col':",COLUMN(TKGD_BDS!C6),",'Row':",ROW(TKGD_BDS!C6),",","'Format':'string'",",'Value':'",SUBSTITUTE(TKGD_BDS!C6,"'","\'"),"','TargetCode':''}")</f>
        <v>{'SheetId':'885cbbdf-539b-4d26-9474-78f8ee9d2e20','UId':'eb644110-ec5f-4d39-9dd7-c1142e927ebf','Col':3,'Row':6,'Format':'string','Value':' ','TargetCode':''}</v>
      </c>
    </row>
    <row r="541" spans="1:1" x14ac:dyDescent="0.2">
      <c r="A541" t="str">
        <f>CONCATENATE("{'SheetId':'885cbbdf-539b-4d26-9474-78f8ee9d2e20'",",","'UId':'797fd9bc-682e-48b7-9711-8230a14f0da5'",",'Col':",COLUMN(TKGD_BDS!D6),",'Row':",ROW(TKGD_BDS!D6),",","'Format':'numberic'",",'Value':'",SUBSTITUTE(TKGD_BDS!D6,"'","\'"),"','TargetCode':''}")</f>
        <v>{'SheetId':'885cbbdf-539b-4d26-9474-78f8ee9d2e20','UId':'797fd9bc-682e-48b7-9711-8230a14f0da5','Col':4,'Row':6,'Format':'numberic','Value':' ','TargetCode':''}</v>
      </c>
    </row>
    <row r="542" spans="1:1" x14ac:dyDescent="0.2">
      <c r="A542" t="str">
        <f>CONCATENATE("{'SheetId':'885cbbdf-539b-4d26-9474-78f8ee9d2e20'",",","'UId':'fcc3a7b5-16e4-4c04-b47c-3e144549495a'",",'Col':",COLUMN(TKGD_BDS!E6),",'Row':",ROW(TKGD_BDS!E6),",","'Format':'string'",",'Value':'",SUBSTITUTE(TKGD_BDS!E6,"'","\'"),"','TargetCode':''}")</f>
        <v>{'SheetId':'885cbbdf-539b-4d26-9474-78f8ee9d2e20','UId':'fcc3a7b5-16e4-4c04-b47c-3e144549495a','Col':5,'Row':6,'Format':'string','Value':' ','TargetCode':''}</v>
      </c>
    </row>
    <row r="543" spans="1:1" x14ac:dyDescent="0.2">
      <c r="A543" t="str">
        <f>CONCATENATE("{'SheetId':'885cbbdf-539b-4d26-9474-78f8ee9d2e20'",",","'UId':'d79d3e27-6be8-4ec3-8c86-a8b1e82b9d7b'",",'Col':",COLUMN(TKGD_BDS!F6),",'Row':",ROW(TKGD_BDS!F6),",","'Format':'string'",",'Value':'",SUBSTITUTE(TKGD_BDS!F6,"'","\'"),"','TargetCode':''}")</f>
        <v>{'SheetId':'885cbbdf-539b-4d26-9474-78f8ee9d2e20','UId':'d79d3e27-6be8-4ec3-8c86-a8b1e82b9d7b','Col':6,'Row':6,'Format':'string','Value':' ','TargetCode':''}</v>
      </c>
    </row>
    <row r="544" spans="1:1" x14ac:dyDescent="0.2">
      <c r="A544" t="str">
        <f>CONCATENATE("{'SheetId':'885cbbdf-539b-4d26-9474-78f8ee9d2e20'",",","'UId':'044caadd-85b5-41c3-8d64-c314e88564c9'",",'Col':",COLUMN(TKGD_BDS!A8),",'Row':",ROW(TKGD_BDS!A8),",","'ColDynamic':",COLUMN(TKGD_BDS!A7),",","'RowDynamic':",ROW(TKGD_BDS!A7),",","'Format':'string'",",'Value':'",SUBSTITUTE(TKGD_BDS!A8,"'","\'"),"','TargetCode':''}")</f>
        <v>{'SheetId':'885cbbdf-539b-4d26-9474-78f8ee9d2e20','UId':'044caadd-85b5-41c3-8d64-c314e88564c9','Col':1,'Row':8,'ColDynamic':1,'RowDynamic':7,'Format':'string','Value':' ','TargetCode':''}</v>
      </c>
    </row>
    <row r="545" spans="1:1" x14ac:dyDescent="0.2">
      <c r="A545" t="str">
        <f>CONCATENATE("{'SheetId':'885cbbdf-539b-4d26-9474-78f8ee9d2e20'",",","'UId':'55280c6b-546e-4f50-a1b5-173773b0647b'",",'Col':",COLUMN(TKGD_BDS!B8),",'Row':",ROW(TKGD_BDS!B8),",","'ColDynamic':",COLUMN(TKGD_BDS!B7),",","'RowDynamic':",ROW(TKGD_BDS!B7),",","'Format':'string'",",'Value':'",SUBSTITUTE(TKGD_BDS!B8,"'","\'"),"','TargetCode':''}")</f>
        <v>{'SheetId':'885cbbdf-539b-4d26-9474-78f8ee9d2e20','UId':'55280c6b-546e-4f50-a1b5-173773b0647b','Col':2,'Row':8,'ColDynamic':2,'RowDynamic':7,'Format':'string','Value':' ','TargetCode':''}</v>
      </c>
    </row>
    <row r="546" spans="1:1" x14ac:dyDescent="0.2">
      <c r="A546" t="str">
        <f>CONCATENATE("{'SheetId':'885cbbdf-539b-4d26-9474-78f8ee9d2e20'",",","'UId':'e82f1d9b-71ec-4913-b1cc-7911ff344f9f'",",'Col':",COLUMN(TKGD_BDS!C8),",'Row':",ROW(TKGD_BDS!C8),",","'ColDynamic':",COLUMN(TKGD_BDS!C7),",","'RowDynamic':",ROW(TKGD_BDS!C7),",","'Format':'string'",",'Value':'",SUBSTITUTE(TKGD_BDS!C8,"'","\'"),"','TargetCode':''}")</f>
        <v>{'SheetId':'885cbbdf-539b-4d26-9474-78f8ee9d2e20','UId':'e82f1d9b-71ec-4913-b1cc-7911ff344f9f','Col':3,'Row':8,'ColDynamic':3,'RowDynamic':7,'Format':'string','Value':' ','TargetCode':''}</v>
      </c>
    </row>
    <row r="547" spans="1:1" x14ac:dyDescent="0.2">
      <c r="A547" t="str">
        <f>CONCATENATE("{'SheetId':'885cbbdf-539b-4d26-9474-78f8ee9d2e20'",",","'UId':'320757e5-489c-4841-a07a-af7f41b69da9'",",'Col':",COLUMN(TKGD_BDS!D8),",'Row':",ROW(TKGD_BDS!D8),",","'ColDynamic':",COLUMN(TKGD_BDS!D7),",","'RowDynamic':",ROW(TKGD_BDS!D7),",","'Format':'numberic'",",'Value':'",SUBSTITUTE(TKGD_BDS!D8,"'","\'"),"','TargetCode':''}")</f>
        <v>{'SheetId':'885cbbdf-539b-4d26-9474-78f8ee9d2e20','UId':'320757e5-489c-4841-a07a-af7f41b69da9','Col':4,'Row':8,'ColDynamic':4,'RowDynamic':7,'Format':'numberic','Value':' ','TargetCode':''}</v>
      </c>
    </row>
    <row r="548" spans="1:1" x14ac:dyDescent="0.2">
      <c r="A548" t="str">
        <f>CONCATENATE("{'SheetId':'885cbbdf-539b-4d26-9474-78f8ee9d2e20'",",","'UId':'b8f300fc-7047-472a-aba5-99d4d723fa5b'",",'Col':",COLUMN(TKGD_BDS!E8),",'Row':",ROW(TKGD_BDS!E8),",","'ColDynamic':",COLUMN(TKGD_BDS!E7),",","'RowDynamic':",ROW(TKGD_BDS!E7),",","'Format':'numberic'",",'Value':'",SUBSTITUTE(TKGD_BDS!E8,"'","\'"),"','TargetCode':''}")</f>
        <v>{'SheetId':'885cbbdf-539b-4d26-9474-78f8ee9d2e20','UId':'b8f300fc-7047-472a-aba5-99d4d723fa5b','Col':5,'Row':8,'ColDynamic':5,'RowDynamic':7,'Format':'numberic','Value':' ','TargetCode':''}</v>
      </c>
    </row>
    <row r="549" spans="1:1" x14ac:dyDescent="0.2">
      <c r="A549" t="str">
        <f>CONCATENATE("{'SheetId':'885cbbdf-539b-4d26-9474-78f8ee9d2e20'",",","'UId':'a9da0bf3-0663-4e2b-90c2-5a026468a292'",",'Col':",COLUMN(TKGD_BDS!F8),",'Row':",ROW(TKGD_BDS!F8),",","'ColDynamic':",COLUMN(TKGD_BDS!F7),",","'RowDynamic':",ROW(TKGD_BDS!F7),",","'Format':'numberic'",",'Value':'",SUBSTITUTE(TKGD_BDS!F8,"'","\'"),"','TargetCode':''}")</f>
        <v>{'SheetId':'885cbbdf-539b-4d26-9474-78f8ee9d2e20','UId':'a9da0bf3-0663-4e2b-90c2-5a026468a292','Col':6,'Row':8,'ColDynamic':6,'RowDynamic':7,'Format':'numberic','Value':' ','TargetCode':''}</v>
      </c>
    </row>
    <row r="550" spans="1:1" x14ac:dyDescent="0.2">
      <c r="A550" t="str">
        <f>CONCATENATE("{'SheetId':'885cbbdf-539b-4d26-9474-78f8ee9d2e20'",",","'UId':'aa780333-59e1-44e3-9148-dab21f79f545'",",'Col':",COLUMN(TKGD_BDS!C9),",'Row':",ROW(TKGD_BDS!C9),",","'Format':'string'",",'Value':'",SUBSTITUTE(TKGD_BDS!C9,"'","\'"),"','TargetCode':''}")</f>
        <v>{'SheetId':'885cbbdf-539b-4d26-9474-78f8ee9d2e20','UId':'aa780333-59e1-44e3-9148-dab21f79f545','Col':3,'Row':9,'Format':'string','Value':' ','TargetCode':''}</v>
      </c>
    </row>
    <row r="551" spans="1:1" x14ac:dyDescent="0.2">
      <c r="A551" t="str">
        <f>CONCATENATE("{'SheetId':'885cbbdf-539b-4d26-9474-78f8ee9d2e20'",",","'UId':'25af6ecf-75b8-44bc-ad2a-206afbeafba1'",",'Col':",COLUMN(TKGD_BDS!D9),",'Row':",ROW(TKGD_BDS!D9),",","'Format':'numberic'",",'Value':'",SUBSTITUTE(TKGD_BDS!D9,"'","\'"),"','TargetCode':''}")</f>
        <v>{'SheetId':'885cbbdf-539b-4d26-9474-78f8ee9d2e20','UId':'25af6ecf-75b8-44bc-ad2a-206afbeafba1','Col':4,'Row':9,'Format':'numberic','Value':' ','TargetCode':''}</v>
      </c>
    </row>
    <row r="552" spans="1:1" x14ac:dyDescent="0.2">
      <c r="A552" t="str">
        <f>CONCATENATE("{'SheetId':'885cbbdf-539b-4d26-9474-78f8ee9d2e20'",",","'UId':'d2ee6440-9e66-464e-a4f7-e4c3297f8423'",",'Col':",COLUMN(TKGD_BDS!E9),",'Row':",ROW(TKGD_BDS!E9),",","'Format':'numberic'",",'Value':'",SUBSTITUTE(TKGD_BDS!E9,"'","\'"),"','TargetCode':''}")</f>
        <v>{'SheetId':'885cbbdf-539b-4d26-9474-78f8ee9d2e20','UId':'d2ee6440-9e66-464e-a4f7-e4c3297f8423','Col':5,'Row':9,'Format':'numberic','Value':' ','TargetCode':''}</v>
      </c>
    </row>
    <row r="553" spans="1:1" x14ac:dyDescent="0.2">
      <c r="A553" t="str">
        <f>CONCATENATE("{'SheetId':'885cbbdf-539b-4d26-9474-78f8ee9d2e20'",",","'UId':'a9751bfc-b38d-456f-939e-17a9256c732d'",",'Col':",COLUMN(TKGD_BDS!F9),",'Row':",ROW(TKGD_BDS!F9),",","'Format':'numberic'",",'Value':'",SUBSTITUTE(TKGD_BDS!F9,"'","\'"),"','TargetCode':''}")</f>
        <v>{'SheetId':'885cbbdf-539b-4d26-9474-78f8ee9d2e20','UId':'a9751bfc-b38d-456f-939e-17a9256c732d','Col':6,'Row':9,'Format':'numberic','Value':' ','TargetCode':''}</v>
      </c>
    </row>
    <row r="554" spans="1:1" x14ac:dyDescent="0.2">
      <c r="A554" t="str">
        <f>CONCATENATE("{'SheetId':'885cbbdf-539b-4d26-9474-78f8ee9d2e20'",",","'UId':'0fbcc022-84e5-4ae7-ac3f-cd26c6d4687f'",",'Col':",COLUMN(TKGD_BDS!A11),",'Row':",ROW(TKGD_BDS!A11),",","'ColDynamic':",COLUMN(TKGD_BDS!A10),",","'RowDynamic':",ROW(TKGD_BDS!A10),",","'Format':'string'",",'Value':'",SUBSTITUTE(TKGD_BDS!A11,"'","\'"),"','TargetCode':''}")</f>
        <v>{'SheetId':'885cbbdf-539b-4d26-9474-78f8ee9d2e20','UId':'0fbcc022-84e5-4ae7-ac3f-cd26c6d4687f','Col':1,'Row':11,'ColDynamic':1,'RowDynamic':10,'Format':'string','Value':' ','TargetCode':''}</v>
      </c>
    </row>
    <row r="555" spans="1:1" x14ac:dyDescent="0.2">
      <c r="A555" t="str">
        <f>CONCATENATE("{'SheetId':'885cbbdf-539b-4d26-9474-78f8ee9d2e20'",",","'UId':'2b185d22-19e5-46bc-b667-7a3e485b673c'",",'Col':",COLUMN(TKGD_BDS!B11),",'Row':",ROW(TKGD_BDS!B11),",","'ColDynamic':",COLUMN(TKGD_BDS!B10),",","'RowDynamic':",ROW(TKGD_BDS!B10),",","'Format':'string'",",'Value':'",SUBSTITUTE(TKGD_BDS!B11,"'","\'"),"','TargetCode':''}")</f>
        <v>{'SheetId':'885cbbdf-539b-4d26-9474-78f8ee9d2e20','UId':'2b185d22-19e5-46bc-b667-7a3e485b673c','Col':2,'Row':11,'ColDynamic':2,'RowDynamic':10,'Format':'string','Value':' ','TargetCode':''}</v>
      </c>
    </row>
    <row r="556" spans="1:1" x14ac:dyDescent="0.2">
      <c r="A556" t="str">
        <f>CONCATENATE("{'SheetId':'885cbbdf-539b-4d26-9474-78f8ee9d2e20'",",","'UId':'3c268eff-347b-4c93-b77b-6e74b06c477d'",",'Col':",COLUMN(TKGD_BDS!C11),",'Row':",ROW(TKGD_BDS!C11),",","'ColDynamic':",COLUMN(TKGD_BDS!C10),",","'RowDynamic':",ROW(TKGD_BDS!C10),",","'Format':'string'",",'Value':'",SUBSTITUTE(TKGD_BDS!C11,"'","\'"),"','TargetCode':''}")</f>
        <v>{'SheetId':'885cbbdf-539b-4d26-9474-78f8ee9d2e20','UId':'3c268eff-347b-4c93-b77b-6e74b06c477d','Col':3,'Row':11,'ColDynamic':3,'RowDynamic':10,'Format':'string','Value':' ','TargetCode':''}</v>
      </c>
    </row>
    <row r="557" spans="1:1" x14ac:dyDescent="0.2">
      <c r="A557" t="str">
        <f>CONCATENATE("{'SheetId':'885cbbdf-539b-4d26-9474-78f8ee9d2e20'",",","'UId':'787613fb-cb31-47da-9df0-1a375ba15b6b'",",'Col':",COLUMN(TKGD_BDS!D11),",'Row':",ROW(TKGD_BDS!D11),",","'ColDynamic':",COLUMN(TKGD_BDS!D10),",","'RowDynamic':",ROW(TKGD_BDS!D10),",","'Format':'string'",",'Value':'",SUBSTITUTE(TKGD_BDS!D11,"'","\'"),"','TargetCode':''}")</f>
        <v>{'SheetId':'885cbbdf-539b-4d26-9474-78f8ee9d2e20','UId':'787613fb-cb31-47da-9df0-1a375ba15b6b','Col':4,'Row':11,'ColDynamic':4,'RowDynamic':10,'Format':'string','Value':' ','TargetCode':''}</v>
      </c>
    </row>
    <row r="558" spans="1:1" x14ac:dyDescent="0.2">
      <c r="A558" t="str">
        <f>CONCATENATE("{'SheetId':'885cbbdf-539b-4d26-9474-78f8ee9d2e20'",",","'UId':'0591193e-ebca-438a-b764-58128fc4d664'",",'Col':",COLUMN(TKGD_BDS!E11),",'Row':",ROW(TKGD_BDS!E11),",","'ColDynamic':",COLUMN(TKGD_BDS!E10),",","'RowDynamic':",ROW(TKGD_BDS!E10),",","'Format':'string'",",'Value':'",SUBSTITUTE(TKGD_BDS!E11,"'","\'"),"','TargetCode':''}")</f>
        <v>{'SheetId':'885cbbdf-539b-4d26-9474-78f8ee9d2e20','UId':'0591193e-ebca-438a-b764-58128fc4d664','Col':5,'Row':11,'ColDynamic':5,'RowDynamic':10,'Format':'string','Value':' ','TargetCode':''}</v>
      </c>
    </row>
    <row r="559" spans="1:1" x14ac:dyDescent="0.2">
      <c r="A559" t="str">
        <f>CONCATENATE("{'SheetId':'885cbbdf-539b-4d26-9474-78f8ee9d2e20'",",","'UId':'f98236b1-60ec-46fa-823f-752dd4362abe'",",'Col':",COLUMN(TKGD_BDS!F11),",'Row':",ROW(TKGD_BDS!F11),",","'ColDynamic':",COLUMN(TKGD_BDS!F10),",","'RowDynamic':",ROW(TKGD_BDS!F10),",","'Format':'string'",",'Value':'",SUBSTITUTE(TKGD_BDS!F11,"'","\'"),"','TargetCode':''}")</f>
        <v>{'SheetId':'885cbbdf-539b-4d26-9474-78f8ee9d2e20','UId':'f98236b1-60ec-46fa-823f-752dd4362abe','Col':6,'Row':11,'ColDynamic':6,'RowDynamic':10,'Format':'string','Value':' ','TargetCode':''}</v>
      </c>
    </row>
    <row r="560" spans="1:1" x14ac:dyDescent="0.2">
      <c r="A560" t="str">
        <f>CONCATENATE("{'SheetId':'885cbbdf-539b-4d26-9474-78f8ee9d2e20'",",","'UId':'8fbd2bbb-d32b-4158-9b60-6b268bcc6f15'",",'Col':",COLUMN(TKGD_BDS!C12),",'Row':",ROW(TKGD_BDS!C12),",","'Format':'string'",",'Value':'",SUBSTITUTE(TKGD_BDS!C12,"'","\'"),"','TargetCode':''}")</f>
        <v>{'SheetId':'885cbbdf-539b-4d26-9474-78f8ee9d2e20','UId':'8fbd2bbb-d32b-4158-9b60-6b268bcc6f15','Col':3,'Row':12,'Format':'string','Value':' ','TargetCode':''}</v>
      </c>
    </row>
    <row r="561" spans="1:1" x14ac:dyDescent="0.2">
      <c r="A561" t="str">
        <f>CONCATENATE("{'SheetId':'885cbbdf-539b-4d26-9474-78f8ee9d2e20'",",","'UId':'cf7014cc-d6ca-46a3-b1c2-ffc45bbc082c'",",'Col':",COLUMN(TKGD_BDS!D12),",'Row':",ROW(TKGD_BDS!D12),",","'Format':'string'",",'Value':'",SUBSTITUTE(TKGD_BDS!D12,"'","\'"),"','TargetCode':''}")</f>
        <v>{'SheetId':'885cbbdf-539b-4d26-9474-78f8ee9d2e20','UId':'cf7014cc-d6ca-46a3-b1c2-ffc45bbc082c','Col':4,'Row':12,'Format':'string','Value':' ','TargetCode':''}</v>
      </c>
    </row>
    <row r="562" spans="1:1" x14ac:dyDescent="0.2">
      <c r="A562" t="str">
        <f>CONCATENATE("{'SheetId':'885cbbdf-539b-4d26-9474-78f8ee9d2e20'",",","'UId':'543a3633-ae7c-4a51-9bf8-a7393326a77f'",",'Col':",COLUMN(TKGD_BDS!E12),",'Row':",ROW(TKGD_BDS!E12),",","'Format':'string'",",'Value':'",SUBSTITUTE(TKGD_BDS!E12,"'","\'"),"','TargetCode':''}")</f>
        <v>{'SheetId':'885cbbdf-539b-4d26-9474-78f8ee9d2e20','UId':'543a3633-ae7c-4a51-9bf8-a7393326a77f','Col':5,'Row':12,'Format':'string','Value':' ','TargetCode':''}</v>
      </c>
    </row>
    <row r="563" spans="1:1" x14ac:dyDescent="0.2">
      <c r="A563" t="str">
        <f>CONCATENATE("{'SheetId':'885cbbdf-539b-4d26-9474-78f8ee9d2e20'",",","'UId':'6d14d14b-ddce-4eb1-9224-c95468acfd78'",",'Col':",COLUMN(TKGD_BDS!F12),",'Row':",ROW(TKGD_BDS!F12),",","'Format':'string'",",'Value':'",SUBSTITUTE(TKGD_BDS!F12,"'","\'"),"','TargetCode':''}")</f>
        <v>{'SheetId':'885cbbdf-539b-4d26-9474-78f8ee9d2e20','UId':'6d14d14b-ddce-4eb1-9224-c95468acfd78','Col':6,'Row':12,'Format':'string','Value':' ','TargetCode':''}</v>
      </c>
    </row>
    <row r="564" spans="1:1" x14ac:dyDescent="0.2">
      <c r="A564" t="str">
        <f>CONCATENATE("{'SheetId':'885cbbdf-539b-4d26-9474-78f8ee9d2e20'",",","'UId':'30a62e2e-8c12-44f4-8b17-600d0524b8de'",",'Col':",COLUMN(TKGD_BDS!C13),",'Row':",ROW(TKGD_BDS!C13),",","'Format':'string'",",'Value':'",SUBSTITUTE(TKGD_BDS!C13,"'","\'"),"','TargetCode':''}")</f>
        <v>{'SheetId':'885cbbdf-539b-4d26-9474-78f8ee9d2e20','UId':'30a62e2e-8c12-44f4-8b17-600d0524b8de','Col':3,'Row':13,'Format':'string','Value':' ','TargetCode':''}</v>
      </c>
    </row>
    <row r="565" spans="1:1" x14ac:dyDescent="0.2">
      <c r="A565" t="str">
        <f>CONCATENATE("{'SheetId':'885cbbdf-539b-4d26-9474-78f8ee9d2e20'",",","'UId':'e68a41ff-5ea5-4da0-b192-ad5bea5235c3'",",'Col':",COLUMN(TKGD_BDS!D13),",'Row':",ROW(TKGD_BDS!D13),",","'Format':'string'",",'Value':'",SUBSTITUTE(TKGD_BDS!D13,"'","\'"),"','TargetCode':''}")</f>
        <v>{'SheetId':'885cbbdf-539b-4d26-9474-78f8ee9d2e20','UId':'e68a41ff-5ea5-4da0-b192-ad5bea5235c3','Col':4,'Row':13,'Format':'string','Value':' ','TargetCode':''}</v>
      </c>
    </row>
    <row r="566" spans="1:1" x14ac:dyDescent="0.2">
      <c r="A566" t="str">
        <f>CONCATENATE("{'SheetId':'885cbbdf-539b-4d26-9474-78f8ee9d2e20'",",","'UId':'880dccd4-d247-46b9-bb02-52680b03bd56'",",'Col':",COLUMN(TKGD_BDS!E13),",'Row':",ROW(TKGD_BDS!E13),",","'Format':'string'",",'Value':'",SUBSTITUTE(TKGD_BDS!E13,"'","\'"),"','TargetCode':''}")</f>
        <v>{'SheetId':'885cbbdf-539b-4d26-9474-78f8ee9d2e20','UId':'880dccd4-d247-46b9-bb02-52680b03bd56','Col':5,'Row':13,'Format':'string','Value':' ','TargetCode':''}</v>
      </c>
    </row>
    <row r="567" spans="1:1" x14ac:dyDescent="0.2">
      <c r="A567" t="str">
        <f>CONCATENATE("{'SheetId':'885cbbdf-539b-4d26-9474-78f8ee9d2e20'",",","'UId':'24edc959-ab03-4f68-b1d6-9891bea9bcb6'",",'Col':",COLUMN(TKGD_BDS!F13),",'Row':",ROW(TKGD_BDS!F13),",","'Format':'string'",",'Value':'",SUBSTITUTE(TKGD_BDS!F13,"'","\'"),"','TargetCode':''}")</f>
        <v>{'SheetId':'885cbbdf-539b-4d26-9474-78f8ee9d2e20','UId':'24edc959-ab03-4f68-b1d6-9891bea9bcb6','Col':6,'Row':13,'Format':'string','Value':' ','TargetCode':''}</v>
      </c>
    </row>
    <row r="568" spans="1:1" x14ac:dyDescent="0.2">
      <c r="A568" t="str">
        <f>CONCATENATE("{'SheetId':'885cbbdf-539b-4d26-9474-78f8ee9d2e20'",",","'UId':'a58cb639-9ada-4bf2-9314-f7190d98ba68'",",'Col':",COLUMN(TKGD_BDS!C14),",'Row':",ROW(TKGD_BDS!C14),",","'Format':'string'",",'Value':'",SUBSTITUTE(TKGD_BDS!C14,"'","\'"),"','TargetCode':''}")</f>
        <v>{'SheetId':'885cbbdf-539b-4d26-9474-78f8ee9d2e20','UId':'a58cb639-9ada-4bf2-9314-f7190d98ba68','Col':3,'Row':14,'Format':'string','Value':' ','TargetCode':''}</v>
      </c>
    </row>
    <row r="569" spans="1:1" x14ac:dyDescent="0.2">
      <c r="A569" t="str">
        <f>CONCATENATE("{'SheetId':'885cbbdf-539b-4d26-9474-78f8ee9d2e20'",",","'UId':'ab11d82b-065c-4047-815b-f69ba6db74c5'",",'Col':",COLUMN(TKGD_BDS!D14),",'Row':",ROW(TKGD_BDS!D14),",","'Format':'string'",",'Value':'",SUBSTITUTE(TKGD_BDS!D14,"'","\'"),"','TargetCode':''}")</f>
        <v>{'SheetId':'885cbbdf-539b-4d26-9474-78f8ee9d2e20','UId':'ab11d82b-065c-4047-815b-f69ba6db74c5','Col':4,'Row':14,'Format':'string','Value':' ','TargetCode':''}</v>
      </c>
    </row>
    <row r="570" spans="1:1" x14ac:dyDescent="0.2">
      <c r="A570" t="str">
        <f>CONCATENATE("{'SheetId':'885cbbdf-539b-4d26-9474-78f8ee9d2e20'",",","'UId':'4541100e-6462-4a78-9aff-8c0a54bbfef1'",",'Col':",COLUMN(TKGD_BDS!E14),",'Row':",ROW(TKGD_BDS!E14),",","'Format':'string'",",'Value':'",SUBSTITUTE(TKGD_BDS!E14,"'","\'"),"','TargetCode':''}")</f>
        <v>{'SheetId':'885cbbdf-539b-4d26-9474-78f8ee9d2e20','UId':'4541100e-6462-4a78-9aff-8c0a54bbfef1','Col':5,'Row':14,'Format':'string','Value':' ','TargetCode':''}</v>
      </c>
    </row>
    <row r="571" spans="1:1" x14ac:dyDescent="0.2">
      <c r="A571" t="str">
        <f>CONCATENATE("{'SheetId':'885cbbdf-539b-4d26-9474-78f8ee9d2e20'",",","'UId':'421c7da5-69d3-4a79-af25-051354211ad7'",",'Col':",COLUMN(TKGD_BDS!F14),",'Row':",ROW(TKGD_BDS!F14),",","'Format':'string'",",'Value':'",SUBSTITUTE(TKGD_BDS!F14,"'","\'"),"','TargetCode':''}")</f>
        <v>{'SheetId':'885cbbdf-539b-4d26-9474-78f8ee9d2e20','UId':'421c7da5-69d3-4a79-af25-051354211ad7','Col':6,'Row':14,'Format':'string','Value':' ','TargetCode':''}</v>
      </c>
    </row>
    <row r="572" spans="1:1" x14ac:dyDescent="0.2">
      <c r="A572" t="str">
        <f>CONCATENATE("{'SheetId':'4fd710f4-5e1f-4336-a124-44a94eaf7b26'",",","'UId':'75cf59fa-c942-42cd-bb3a-0b36f8ecb906'",",'Col':",COLUMN(HanMucTuDoanh_DTGTNN!C3),",'Row':",ROW(HanMucTuDoanh_DTGTNN!C3),",","'Format':'numberic'",",'Value':'",SUBSTITUTE(HanMucTuDoanh_DTGTNN!C3,"'","\'"),"','TargetCode':''}")</f>
        <v>{'SheetId':'4fd710f4-5e1f-4336-a124-44a94eaf7b26','UId':'75cf59fa-c942-42cd-bb3a-0b36f8ecb906','Col':3,'Row':3,'Format':'numberic','Value':' ','TargetCode':''}</v>
      </c>
    </row>
    <row r="573" spans="1:1" x14ac:dyDescent="0.2">
      <c r="A573" t="str">
        <f>CONCATENATE("{'SheetId':'4fd710f4-5e1f-4336-a124-44a94eaf7b26'",",","'UId':'bf7afca8-ab4e-498e-a5ce-b2443c549bdb'",",'Col':",COLUMN(HanMucTuDoanh_DTGTNN!D3),",'Row':",ROW(HanMucTuDoanh_DTGTNN!D3),",","'Format':'numberic'",",'Value':'",SUBSTITUTE(HanMucTuDoanh_DTGTNN!D3,"'","\'"),"','TargetCode':''}")</f>
        <v>{'SheetId':'4fd710f4-5e1f-4336-a124-44a94eaf7b26','UId':'bf7afca8-ab4e-498e-a5ce-b2443c549bdb','Col':4,'Row':3,'Format':'numberic','Value':' ','TargetCode':''}</v>
      </c>
    </row>
    <row r="574" spans="1:1" x14ac:dyDescent="0.2">
      <c r="A574" t="str">
        <f>CONCATENATE("{'SheetId':'4fd710f4-5e1f-4336-a124-44a94eaf7b26'",",","'UId':'78a327d3-69dc-4841-92ed-46d6957cd671'",",'Col':",COLUMN(HanMucTuDoanh_DTGTNN!A5),",'Row':",ROW(HanMucTuDoanh_DTGTNN!A5),",","'ColDynamic':",COLUMN(HanMucTuDoanh_DTGTNN!A4),",","'RowDynamic':",ROW(HanMucTuDoanh_DTGTNN!A4),",","'Format':'string'",",'Value':'",SUBSTITUTE(HanMucTuDoanh_DTGTNN!A5,"'","\'"),"','TargetCode':''}")</f>
        <v>{'SheetId':'4fd710f4-5e1f-4336-a124-44a94eaf7b26','UId':'78a327d3-69dc-4841-92ed-46d6957cd671','Col':1,'Row':5,'ColDynamic':1,'RowDynamic':4,'Format':'string','Value':' ','TargetCode':''}</v>
      </c>
    </row>
    <row r="575" spans="1:1" x14ac:dyDescent="0.2">
      <c r="A575" t="str">
        <f>CONCATENATE("{'SheetId':'4fd710f4-5e1f-4336-a124-44a94eaf7b26'",",","'UId':'d74b822e-1f72-4436-ae85-afc97fa422ab'",",'Col':",COLUMN(HanMucTuDoanh_DTGTNN!B5),",'Row':",ROW(HanMucTuDoanh_DTGTNN!B5),",","'ColDynamic':",COLUMN(HanMucTuDoanh_DTGTNN!B4),",","'RowDynamic':",ROW(HanMucTuDoanh_DTGTNN!B4),",","'Format':'string'",",'Value':'",SUBSTITUTE(HanMucTuDoanh_DTGTNN!B5,"'","\'"),"','TargetCode':''}")</f>
        <v>{'SheetId':'4fd710f4-5e1f-4336-a124-44a94eaf7b26','UId':'d74b822e-1f72-4436-ae85-afc97fa422ab','Col':2,'Row':5,'ColDynamic':2,'RowDynamic':4,'Format':'string','Value':'','TargetCode':''}</v>
      </c>
    </row>
    <row r="576" spans="1:1" x14ac:dyDescent="0.2">
      <c r="A576" t="str">
        <f>CONCATENATE("{'SheetId':'4fd710f4-5e1f-4336-a124-44a94eaf7b26'",",","'UId':'32f0a87f-c1ee-465a-8050-d2924e75f72b'",",'Col':",COLUMN(HanMucTuDoanh_DTGTNN!C5),",'Row':",ROW(HanMucTuDoanh_DTGTNN!C5),",","'ColDynamic':",COLUMN(HanMucTuDoanh_DTGTNN!C4),",","'RowDynamic':",ROW(HanMucTuDoanh_DTGTNN!C4),",","'Format':'numberic'",",'Value':'",SUBSTITUTE(HanMucTuDoanh_DTGTNN!C5,"'","\'"),"','TargetCode':''}")</f>
        <v>{'SheetId':'4fd710f4-5e1f-4336-a124-44a94eaf7b26','UId':'32f0a87f-c1ee-465a-8050-d2924e75f72b','Col':3,'Row':5,'ColDynamic':3,'RowDynamic':4,'Format':'numberic','Value':' ','TargetCode':''}</v>
      </c>
    </row>
    <row r="577" spans="1:1" x14ac:dyDescent="0.2">
      <c r="A577" t="str">
        <f>CONCATENATE("{'SheetId':'4fd710f4-5e1f-4336-a124-44a94eaf7b26'",",","'UId':'642dd984-00c9-4885-94c7-04a0006bc4cb'",",'Col':",COLUMN(HanMucTuDoanh_DTGTNN!D5),",'Row':",ROW(HanMucTuDoanh_DTGTNN!D5),",","'ColDynamic':",COLUMN(HanMucTuDoanh_DTGTNN!D4),",","'RowDynamic':",ROW(HanMucTuDoanh_DTGTNN!D4),",","'Format':'numberic'",",'Value':'",SUBSTITUTE(HanMucTuDoanh_DTGTNN!D5,"'","\'"),"','TargetCode':''}")</f>
        <v>{'SheetId':'4fd710f4-5e1f-4336-a124-44a94eaf7b26','UId':'642dd984-00c9-4885-94c7-04a0006bc4cb','Col':4,'Row':5,'ColDynamic':4,'RowDynamic':4,'Format':'numberic','Value':' ','TargetCode':''}</v>
      </c>
    </row>
    <row r="578" spans="1:1" x14ac:dyDescent="0.2">
      <c r="A578" t="str">
        <f>CONCATENATE("{'SheetId':'4fd710f4-5e1f-4336-a124-44a94eaf7b26'",",","'UId':'549cde00-755b-483a-bc6d-d2babe6d16ea'",",'Col':",COLUMN(HanMucTuDoanh_DTGTNN!C6),",'Row':",ROW(HanMucTuDoanh_DTGTNN!C6),",","'Format':'numberic'",",'Value':'",SUBSTITUTE(HanMucTuDoanh_DTGTNN!C6,"'","\'"),"','TargetCode':''}")</f>
        <v>{'SheetId':'4fd710f4-5e1f-4336-a124-44a94eaf7b26','UId':'549cde00-755b-483a-bc6d-d2babe6d16ea','Col':3,'Row':6,'Format':'numberic','Value':' ','TargetCode':''}</v>
      </c>
    </row>
    <row r="579" spans="1:1" x14ac:dyDescent="0.2">
      <c r="A579" t="str">
        <f>CONCATENATE("{'SheetId':'4fd710f4-5e1f-4336-a124-44a94eaf7b26'",",","'UId':'fbcdbd3e-1938-4c51-be45-0aacd6564c2d'",",'Col':",COLUMN(HanMucTuDoanh_DTGTNN!D6),",'Row':",ROW(HanMucTuDoanh_DTGTNN!D6),",","'Format':'numberic'",",'Value':'",SUBSTITUTE(HanMucTuDoanh_DTGTNN!D6,"'","\'"),"','TargetCode':''}")</f>
        <v>{'SheetId':'4fd710f4-5e1f-4336-a124-44a94eaf7b26','UId':'fbcdbd3e-1938-4c51-be45-0aacd6564c2d','Col':4,'Row':6,'Format':'numberic','Value':' ','TargetCode':''}</v>
      </c>
    </row>
    <row r="580" spans="1:1" x14ac:dyDescent="0.2">
      <c r="A580" t="str">
        <f>CONCATENATE("{'SheetId':'4fd710f4-5e1f-4336-a124-44a94eaf7b26'",",","'UId':'e1322fea-5965-434b-bc17-8ea38828afaa'",",'Col':",COLUMN(HanMucTuDoanh_DTGTNN!A8),",'Row':",ROW(HanMucTuDoanh_DTGTNN!A8),",","'ColDynamic':",COLUMN(HanMucTuDoanh_DTGTNN!A7),",","'RowDynamic':",ROW(HanMucTuDoanh_DTGTNN!A7),",","'Format':'string'",",'Value':'",SUBSTITUTE(HanMucTuDoanh_DTGTNN!A8,"'","\'"),"','TargetCode':''}")</f>
        <v>{'SheetId':'4fd710f4-5e1f-4336-a124-44a94eaf7b26','UId':'e1322fea-5965-434b-bc17-8ea38828afaa','Col':1,'Row':8,'ColDynamic':1,'RowDynamic':7,'Format':'string','Value':' ','TargetCode':''}</v>
      </c>
    </row>
    <row r="581" spans="1:1" x14ac:dyDescent="0.2">
      <c r="A581" t="str">
        <f>CONCATENATE("{'SheetId':'4fd710f4-5e1f-4336-a124-44a94eaf7b26'",",","'UId':'08652c99-583b-4d48-ab08-bf35dbe80c44'",",'Col':",COLUMN(HanMucTuDoanh_DTGTNN!B8),",'Row':",ROW(HanMucTuDoanh_DTGTNN!B8),",","'ColDynamic':",COLUMN(HanMucTuDoanh_DTGTNN!B7),",","'RowDynamic':",ROW(HanMucTuDoanh_DTGTNN!B7),",","'Format':'string'",",'Value':'",SUBSTITUTE(HanMucTuDoanh_DTGTNN!B8,"'","\'"),"','TargetCode':''}")</f>
        <v>{'SheetId':'4fd710f4-5e1f-4336-a124-44a94eaf7b26','UId':'08652c99-583b-4d48-ab08-bf35dbe80c44','Col':2,'Row':8,'ColDynamic':2,'RowDynamic':7,'Format':'string','Value':'','TargetCode':''}</v>
      </c>
    </row>
    <row r="582" spans="1:1" x14ac:dyDescent="0.2">
      <c r="A582" t="str">
        <f>CONCATENATE("{'SheetId':'4fd710f4-5e1f-4336-a124-44a94eaf7b26'",",","'UId':'ce65f591-19d6-4a11-a0ea-7ac6148eef0b'",",'Col':",COLUMN(HanMucTuDoanh_DTGTNN!C8),",'Row':",ROW(HanMucTuDoanh_DTGTNN!C8),",","'ColDynamic':",COLUMN(HanMucTuDoanh_DTGTNN!C7),",","'RowDynamic':",ROW(HanMucTuDoanh_DTGTNN!C7),",","'Format':'numberic'",",'Value':'",SUBSTITUTE(HanMucTuDoanh_DTGTNN!C8,"'","\'"),"','TargetCode':''}")</f>
        <v>{'SheetId':'4fd710f4-5e1f-4336-a124-44a94eaf7b26','UId':'ce65f591-19d6-4a11-a0ea-7ac6148eef0b','Col':3,'Row':8,'ColDynamic':3,'RowDynamic':7,'Format':'numberic','Value':' ','TargetCode':''}</v>
      </c>
    </row>
    <row r="583" spans="1:1" x14ac:dyDescent="0.2">
      <c r="A583" t="str">
        <f>CONCATENATE("{'SheetId':'4fd710f4-5e1f-4336-a124-44a94eaf7b26'",",","'UId':'8ceeb469-63bc-43d3-a52e-5be4d1155b89'",",'Col':",COLUMN(HanMucTuDoanh_DTGTNN!D8),",'Row':",ROW(HanMucTuDoanh_DTGTNN!D8),",","'ColDynamic':",COLUMN(HanMucTuDoanh_DTGTNN!D7),",","'RowDynamic':",ROW(HanMucTuDoanh_DTGTNN!D7),",","'Format':'numberic'",",'Value':'",SUBSTITUTE(HanMucTuDoanh_DTGTNN!D8,"'","\'"),"','TargetCode':''}")</f>
        <v>{'SheetId':'4fd710f4-5e1f-4336-a124-44a94eaf7b26','UId':'8ceeb469-63bc-43d3-a52e-5be4d1155b89','Col':4,'Row':8,'ColDynamic':4,'RowDynamic':7,'Format':'numberic','Value':' ','TargetCode':''}</v>
      </c>
    </row>
    <row r="584" spans="1:1" x14ac:dyDescent="0.2">
      <c r="A584" t="str">
        <f>CONCATENATE("{'SheetId':'4fd710f4-5e1f-4336-a124-44a94eaf7b26'",",","'UId':'8a8297ce-9be4-43b4-9a58-ff3b8750ccb4'",",'Col':",COLUMN(HanMucTuDoanh_DTGTNN!C9),",'Row':",ROW(HanMucTuDoanh_DTGTNN!C9),",","'Format':'numberic'",",'Value':'",SUBSTITUTE(HanMucTuDoanh_DTGTNN!C9,"'","\'"),"','TargetCode':''}")</f>
        <v>{'SheetId':'4fd710f4-5e1f-4336-a124-44a94eaf7b26','UId':'8a8297ce-9be4-43b4-9a58-ff3b8750ccb4','Col':3,'Row':9,'Format':'numberic','Value':' ','TargetCode':''}</v>
      </c>
    </row>
    <row r="585" spans="1:1" x14ac:dyDescent="0.2">
      <c r="A585" t="str">
        <f>CONCATENATE("{'SheetId':'4fd710f4-5e1f-4336-a124-44a94eaf7b26'",",","'UId':'6d28b056-7b55-4d54-9687-1dc87506805c'",",'Col':",COLUMN(HanMucTuDoanh_DTGTNN!D9),",'Row':",ROW(HanMucTuDoanh_DTGTNN!D9),",","'Format':'numberic'",",'Value':'",SUBSTITUTE(HanMucTuDoanh_DTGTNN!D9,"'","\'"),"','TargetCode':''}")</f>
        <v>{'SheetId':'4fd710f4-5e1f-4336-a124-44a94eaf7b26','UId':'6d28b056-7b55-4d54-9687-1dc87506805c','Col':4,'Row':9,'Format':'numberic','Value':' ','TargetCode':''}</v>
      </c>
    </row>
    <row r="586" spans="1:1" x14ac:dyDescent="0.2">
      <c r="A586" t="str">
        <f>CONCATENATE("{'SheetId':'4fd710f4-5e1f-4336-a124-44a94eaf7b26'",",","'UId':'cf1d825b-cd51-409e-9322-d523b22bec4c'",",'Col':",COLUMN(HanMucTuDoanh_DTGTNN!A11),",'Row':",ROW(HanMucTuDoanh_DTGTNN!A11),",","'ColDynamic':",COLUMN(HanMucTuDoanh_DTGTNN!A10),",","'RowDynamic':",ROW(HanMucTuDoanh_DTGTNN!A10),",","'Format':'string'",",'Value':'",SUBSTITUTE(HanMucTuDoanh_DTGTNN!A11,"'","\'"),"','TargetCode':''}")</f>
        <v>{'SheetId':'4fd710f4-5e1f-4336-a124-44a94eaf7b26','UId':'cf1d825b-cd51-409e-9322-d523b22bec4c','Col':1,'Row':11,'ColDynamic':1,'RowDynamic':10,'Format':'string','Value':' ','TargetCode':''}</v>
      </c>
    </row>
    <row r="587" spans="1:1" x14ac:dyDescent="0.2">
      <c r="A587" t="str">
        <f>CONCATENATE("{'SheetId':'4fd710f4-5e1f-4336-a124-44a94eaf7b26'",",","'UId':'b235fc20-051c-4c8c-99ed-c546429444e8'",",'Col':",COLUMN(HanMucTuDoanh_DTGTNN!B11),",'Row':",ROW(HanMucTuDoanh_DTGTNN!B11),",","'ColDynamic':",COLUMN(HanMucTuDoanh_DTGTNN!B10),",","'RowDynamic':",ROW(HanMucTuDoanh_DTGTNN!B10),",","'Format':'string'",",'Value':'",SUBSTITUTE(HanMucTuDoanh_DTGTNN!B11,"'","\'"),"','TargetCode':''}")</f>
        <v>{'SheetId':'4fd710f4-5e1f-4336-a124-44a94eaf7b26','UId':'b235fc20-051c-4c8c-99ed-c546429444e8','Col':2,'Row':11,'ColDynamic':2,'RowDynamic':10,'Format':'string','Value':'','TargetCode':''}</v>
      </c>
    </row>
    <row r="588" spans="1:1" x14ac:dyDescent="0.2">
      <c r="A588" t="str">
        <f>CONCATENATE("{'SheetId':'4fd710f4-5e1f-4336-a124-44a94eaf7b26'",",","'UId':'c11beb99-a670-46a5-a416-c1fa93bb3740'",",'Col':",COLUMN(HanMucTuDoanh_DTGTNN!C11),",'Row':",ROW(HanMucTuDoanh_DTGTNN!C11),",","'ColDynamic':",COLUMN(HanMucTuDoanh_DTGTNN!C10),",","'RowDynamic':",ROW(HanMucTuDoanh_DTGTNN!C10),",","'Format':'numberic'",",'Value':'",SUBSTITUTE(HanMucTuDoanh_DTGTNN!C11,"'","\'"),"','TargetCode':''}")</f>
        <v>{'SheetId':'4fd710f4-5e1f-4336-a124-44a94eaf7b26','UId':'c11beb99-a670-46a5-a416-c1fa93bb3740','Col':3,'Row':11,'ColDynamic':3,'RowDynamic':10,'Format':'numberic','Value':' ','TargetCode':''}</v>
      </c>
    </row>
    <row r="589" spans="1:1" x14ac:dyDescent="0.2">
      <c r="A589" t="str">
        <f>CONCATENATE("{'SheetId':'4fd710f4-5e1f-4336-a124-44a94eaf7b26'",",","'UId':'6e8aa33e-8fc0-4741-b66b-681cc71f84a2'",",'Col':",COLUMN(HanMucTuDoanh_DTGTNN!D11),",'Row':",ROW(HanMucTuDoanh_DTGTNN!D11),",","'ColDynamic':",COLUMN(HanMucTuDoanh_DTGTNN!D10),",","'RowDynamic':",ROW(HanMucTuDoanh_DTGTNN!D10),",","'Format':'numberic'",",'Value':'",SUBSTITUTE(HanMucTuDoanh_DTGTNN!D11,"'","\'"),"','TargetCode':''}")</f>
        <v>{'SheetId':'4fd710f4-5e1f-4336-a124-44a94eaf7b26','UId':'6e8aa33e-8fc0-4741-b66b-681cc71f84a2','Col':4,'Row':11,'ColDynamic':4,'RowDynamic':10,'Format':'numberic','Value':' ','TargetCode':''}</v>
      </c>
    </row>
    <row r="590" spans="1:1" x14ac:dyDescent="0.2">
      <c r="A590" t="str">
        <f>CONCATENATE("{'SheetId':'4fd710f4-5e1f-4336-a124-44a94eaf7b26'",",","'UId':'ceb24f7a-8e44-4bb6-bea9-798359b77009'",",'Col':",COLUMN(HanMucTuDoanh_DTGTNN!C12),",'Row':",ROW(HanMucTuDoanh_DTGTNN!C12),",","'Format':'numberic'",",'Value':'",SUBSTITUTE(HanMucTuDoanh_DTGTNN!C12,"'","\'"),"','TargetCode':''}")</f>
        <v>{'SheetId':'4fd710f4-5e1f-4336-a124-44a94eaf7b26','UId':'ceb24f7a-8e44-4bb6-bea9-798359b77009','Col':3,'Row':12,'Format':'numberic','Value':' ','TargetCode':''}</v>
      </c>
    </row>
    <row r="591" spans="1:1" x14ac:dyDescent="0.2">
      <c r="A591" t="str">
        <f>CONCATENATE("{'SheetId':'4fd710f4-5e1f-4336-a124-44a94eaf7b26'",",","'UId':'b199cb7c-86c0-4d0d-bbec-47a36114d3d6'",",'Col':",COLUMN(HanMucTuDoanh_DTGTNN!D12),",'Row':",ROW(HanMucTuDoanh_DTGTNN!D12),",","'Format':'numberic'",",'Value':'",SUBSTITUTE(HanMucTuDoanh_DTGTNN!D12,"'","\'"),"','TargetCode':''}")</f>
        <v>{'SheetId':'4fd710f4-5e1f-4336-a124-44a94eaf7b26','UId':'b199cb7c-86c0-4d0d-bbec-47a36114d3d6','Col':4,'Row':12,'Format':'numberic','Value':' ','TargetCode':''}</v>
      </c>
    </row>
    <row r="592" spans="1:1" x14ac:dyDescent="0.2">
      <c r="A592" t="str">
        <f>CONCATENATE("{'SheetId':'4fd710f4-5e1f-4336-a124-44a94eaf7b26'",",","'UId':'ba74ef5f-3285-4d1c-81c6-5df0f7f18785'",",'Col':",COLUMN(HanMucTuDoanh_DTGTNN!A14),",'Row':",ROW(HanMucTuDoanh_DTGTNN!A14),",","'ColDynamic':",COLUMN(HanMucTuDoanh_DTGTNN!A13),",","'RowDynamic':",ROW(HanMucTuDoanh_DTGTNN!A13),",","'Format':'string'",",'Value':'",SUBSTITUTE(HanMucTuDoanh_DTGTNN!A14,"'","\'"),"','TargetCode':''}")</f>
        <v>{'SheetId':'4fd710f4-5e1f-4336-a124-44a94eaf7b26','UId':'ba74ef5f-3285-4d1c-81c6-5df0f7f18785','Col':1,'Row':14,'ColDynamic':1,'RowDynamic':13,'Format':'string','Value':' ','TargetCode':''}</v>
      </c>
    </row>
    <row r="593" spans="1:1" x14ac:dyDescent="0.2">
      <c r="A593" t="str">
        <f>CONCATENATE("{'SheetId':'4fd710f4-5e1f-4336-a124-44a94eaf7b26'",",","'UId':'8efc293a-1265-489d-a390-5d741740a2db'",",'Col':",COLUMN(HanMucTuDoanh_DTGTNN!B14),",'Row':",ROW(HanMucTuDoanh_DTGTNN!B14),",","'ColDynamic':",COLUMN(HanMucTuDoanh_DTGTNN!B13),",","'RowDynamic':",ROW(HanMucTuDoanh_DTGTNN!B13),",","'Format':'string'",",'Value':'",SUBSTITUTE(HanMucTuDoanh_DTGTNN!B14,"'","\'"),"','TargetCode':''}")</f>
        <v>{'SheetId':'4fd710f4-5e1f-4336-a124-44a94eaf7b26','UId':'8efc293a-1265-489d-a390-5d741740a2db','Col':2,'Row':14,'ColDynamic':2,'RowDynamic':13,'Format':'string','Value':'','TargetCode':''}</v>
      </c>
    </row>
    <row r="594" spans="1:1" x14ac:dyDescent="0.2">
      <c r="A594" t="str">
        <f>CONCATENATE("{'SheetId':'4fd710f4-5e1f-4336-a124-44a94eaf7b26'",",","'UId':'ec1d6c3b-c09b-4375-9549-c7725fcfc68a'",",'Col':",COLUMN(HanMucTuDoanh_DTGTNN!C14),",'Row':",ROW(HanMucTuDoanh_DTGTNN!C14),",","'ColDynamic':",COLUMN(HanMucTuDoanh_DTGTNN!C13),",","'RowDynamic':",ROW(HanMucTuDoanh_DTGTNN!C13),",","'Format':'numberic'",",'Value':'",SUBSTITUTE(HanMucTuDoanh_DTGTNN!C14,"'","\'"),"','TargetCode':''}")</f>
        <v>{'SheetId':'4fd710f4-5e1f-4336-a124-44a94eaf7b26','UId':'ec1d6c3b-c09b-4375-9549-c7725fcfc68a','Col':3,'Row':14,'ColDynamic':3,'RowDynamic':13,'Format':'numberic','Value':' ','TargetCode':''}</v>
      </c>
    </row>
    <row r="595" spans="1:1" x14ac:dyDescent="0.2">
      <c r="A595" t="str">
        <f>CONCATENATE("{'SheetId':'4fd710f4-5e1f-4336-a124-44a94eaf7b26'",",","'UId':'5e437c72-b473-47c3-97b5-e5feef405df9'",",'Col':",COLUMN(HanMucTuDoanh_DTGTNN!D14),",'Row':",ROW(HanMucTuDoanh_DTGTNN!D14),",","'ColDynamic':",COLUMN(HanMucTuDoanh_DTGTNN!D13),",","'RowDynamic':",ROW(HanMucTuDoanh_DTGTNN!D13),",","'Format':'numberic'",",'Value':'",SUBSTITUTE(HanMucTuDoanh_DTGTNN!D14,"'","\'"),"','TargetCode':''}")</f>
        <v>{'SheetId':'4fd710f4-5e1f-4336-a124-44a94eaf7b26','UId':'5e437c72-b473-47c3-97b5-e5feef405df9','Col':4,'Row':14,'ColDynamic':4,'RowDynamic':13,'Format':'numberic','Value':' ','TargetCode':''}</v>
      </c>
    </row>
    <row r="596" spans="1:1" x14ac:dyDescent="0.2">
      <c r="A596" t="str">
        <f>CONCATENATE("{'SheetId':'b728798b-1c5c-4ec0-b355-f3d79005d0c1'",",","'UId':'6bbe263f-76fd-4046-a247-1a1ab238e945'",",'Col':",COLUMN(BCTaiSan_DTGTNN!C3),",'Row':",ROW(BCTaiSan_DTGTNN!C3),",","'Format':'numberic'",",'Value':'",SUBSTITUTE(BCTaiSan_DTGTNN!C3,"'","\'"),"','TargetCode':''}")</f>
        <v>{'SheetId':'b728798b-1c5c-4ec0-b355-f3d79005d0c1','UId':'6bbe263f-76fd-4046-a247-1a1ab238e945','Col':3,'Row':3,'Format':'numberic','Value':' ','TargetCode':''}</v>
      </c>
    </row>
    <row r="597" spans="1:1" x14ac:dyDescent="0.2">
      <c r="A597" t="str">
        <f>CONCATENATE("{'SheetId':'b728798b-1c5c-4ec0-b355-f3d79005d0c1'",",","'UId':'47fdd517-9c92-45d5-9db2-649e1b89745c'",",'Col':",COLUMN(BCTaiSan_DTGTNN!D3),",'Row':",ROW(BCTaiSan_DTGTNN!D3),",","'Format':'numberic'",",'Value':'",SUBSTITUTE(BCTaiSan_DTGTNN!D3,"'","\'"),"','TargetCode':''}")</f>
        <v>{'SheetId':'b728798b-1c5c-4ec0-b355-f3d79005d0c1','UId':'47fdd517-9c92-45d5-9db2-649e1b89745c','Col':4,'Row':3,'Format':'numberic','Value':' ','TargetCode':''}</v>
      </c>
    </row>
    <row r="598" spans="1:1" x14ac:dyDescent="0.2">
      <c r="A598" t="str">
        <f>CONCATENATE("{'SheetId':'b728798b-1c5c-4ec0-b355-f3d79005d0c1'",",","'UId':'4e8a0588-d1dc-4152-a31b-bf8d4908a3c0'",",'Col':",COLUMN(BCTaiSan_DTGTNN!E3),",'Row':",ROW(BCTaiSan_DTGTNN!E3),",","'Format':'numberic'",",'Value':'",SUBSTITUTE(BCTaiSan_DTGTNN!E3,"'","\'"),"','TargetCode':''}")</f>
        <v>{'SheetId':'b728798b-1c5c-4ec0-b355-f3d79005d0c1','UId':'4e8a0588-d1dc-4152-a31b-bf8d4908a3c0','Col':5,'Row':3,'Format':'numberic','Value':' ','TargetCode':''}</v>
      </c>
    </row>
    <row r="599" spans="1:1" x14ac:dyDescent="0.2">
      <c r="A599" t="str">
        <f>CONCATENATE("{'SheetId':'b728798b-1c5c-4ec0-b355-f3d79005d0c1'",",","'UId':'6734f9ab-a39f-4f5c-acd3-f57921ef25ec'",",'Col':",COLUMN(BCTaiSan_DTGTNN!F3),",'Row':",ROW(BCTaiSan_DTGTNN!F3),",","'Format':'numberic'",",'Value':'",SUBSTITUTE(BCTaiSan_DTGTNN!F3,"'","\'"),"','TargetCode':''}")</f>
        <v>{'SheetId':'b728798b-1c5c-4ec0-b355-f3d79005d0c1','UId':'6734f9ab-a39f-4f5c-acd3-f57921ef25ec','Col':6,'Row':3,'Format':'numberic','Value':' ','TargetCode':''}</v>
      </c>
    </row>
    <row r="600" spans="1:1" x14ac:dyDescent="0.2">
      <c r="A600" t="str">
        <f>CONCATENATE("{'SheetId':'b728798b-1c5c-4ec0-b355-f3d79005d0c1'",",","'UId':'d5501990-8c94-4f93-9bb8-7c6e61a9efb6'",",'Col':",COLUMN(BCTaiSan_DTGTNN!G3),",'Row':",ROW(BCTaiSan_DTGTNN!G3),",","'Format':'numberic'",",'Value':'",SUBSTITUTE(BCTaiSan_DTGTNN!G3,"'","\'"),"','TargetCode':''}")</f>
        <v>{'SheetId':'b728798b-1c5c-4ec0-b355-f3d79005d0c1','UId':'d5501990-8c94-4f93-9bb8-7c6e61a9efb6','Col':7,'Row':3,'Format':'numberic','Value':' ','TargetCode':''}</v>
      </c>
    </row>
    <row r="601" spans="1:1" x14ac:dyDescent="0.2">
      <c r="A601" t="str">
        <f>CONCATENATE("{'SheetId':'b728798b-1c5c-4ec0-b355-f3d79005d0c1'",",","'UId':'6859cb93-6857-4983-9531-2c9e1c8113b8'",",'Col':",COLUMN(BCTaiSan_DTGTNN!C4),",'Row':",ROW(BCTaiSan_DTGTNN!C4),",","'Format':'numberic'",",'Value':'",SUBSTITUTE(BCTaiSan_DTGTNN!C4,"'","\'"),"','TargetCode':''}")</f>
        <v>{'SheetId':'b728798b-1c5c-4ec0-b355-f3d79005d0c1','UId':'6859cb93-6857-4983-9531-2c9e1c8113b8','Col':3,'Row':4,'Format':'numberic','Value':' ','TargetCode':''}</v>
      </c>
    </row>
    <row r="602" spans="1:1" x14ac:dyDescent="0.2">
      <c r="A602" t="str">
        <f>CONCATENATE("{'SheetId':'b728798b-1c5c-4ec0-b355-f3d79005d0c1'",",","'UId':'f8449cd4-877d-42e4-b979-5e6b26c3508f'",",'Col':",COLUMN(BCTaiSan_DTGTNN!D4),",'Row':",ROW(BCTaiSan_DTGTNN!D4),",","'Format':'numberic'",",'Value':'",SUBSTITUTE(BCTaiSan_DTGTNN!D4,"'","\'"),"','TargetCode':''}")</f>
        <v>{'SheetId':'b728798b-1c5c-4ec0-b355-f3d79005d0c1','UId':'f8449cd4-877d-42e4-b979-5e6b26c3508f','Col':4,'Row':4,'Format':'numberic','Value':' ','TargetCode':''}</v>
      </c>
    </row>
    <row r="603" spans="1:1" x14ac:dyDescent="0.2">
      <c r="A603" t="str">
        <f>CONCATENATE("{'SheetId':'b728798b-1c5c-4ec0-b355-f3d79005d0c1'",",","'UId':'fd8213a4-d9c5-46d0-a5ec-28f85962972b'",",'Col':",COLUMN(BCTaiSan_DTGTNN!E4),",'Row':",ROW(BCTaiSan_DTGTNN!E4),",","'Format':'numberic'",",'Value':'",SUBSTITUTE(BCTaiSan_DTGTNN!E4,"'","\'"),"','TargetCode':''}")</f>
        <v>{'SheetId':'b728798b-1c5c-4ec0-b355-f3d79005d0c1','UId':'fd8213a4-d9c5-46d0-a5ec-28f85962972b','Col':5,'Row':4,'Format':'numberic','Value':' ','TargetCode':''}</v>
      </c>
    </row>
    <row r="604" spans="1:1" x14ac:dyDescent="0.2">
      <c r="A604" t="str">
        <f>CONCATENATE("{'SheetId':'b728798b-1c5c-4ec0-b355-f3d79005d0c1'",",","'UId':'030ce6f5-29c9-4d43-ab70-ee247189610e'",",'Col':",COLUMN(BCTaiSan_DTGTNN!F4),",'Row':",ROW(BCTaiSan_DTGTNN!F4),",","'Format':'numberic'",",'Value':'",SUBSTITUTE(BCTaiSan_DTGTNN!F4,"'","\'"),"','TargetCode':''}")</f>
        <v>{'SheetId':'b728798b-1c5c-4ec0-b355-f3d79005d0c1','UId':'030ce6f5-29c9-4d43-ab70-ee247189610e','Col':6,'Row':4,'Format':'numberic','Value':' ','TargetCode':''}</v>
      </c>
    </row>
    <row r="605" spans="1:1" x14ac:dyDescent="0.2">
      <c r="A605" t="str">
        <f>CONCATENATE("{'SheetId':'b728798b-1c5c-4ec0-b355-f3d79005d0c1'",",","'UId':'5401914b-a0a7-456e-a6f2-9f72680bd5ef'",",'Col':",COLUMN(BCTaiSan_DTGTNN!G4),",'Row':",ROW(BCTaiSan_DTGTNN!G4),",","'Format':'numberic'",",'Value':'",SUBSTITUTE(BCTaiSan_DTGTNN!G4,"'","\'"),"','TargetCode':''}")</f>
        <v>{'SheetId':'b728798b-1c5c-4ec0-b355-f3d79005d0c1','UId':'5401914b-a0a7-456e-a6f2-9f72680bd5ef','Col':7,'Row':4,'Format':'numberic','Value':' ','TargetCode':''}</v>
      </c>
    </row>
    <row r="606" spans="1:1" x14ac:dyDescent="0.2">
      <c r="A606" t="str">
        <f>CONCATENATE("{'SheetId':'b728798b-1c5c-4ec0-b355-f3d79005d0c1'",",","'UId':'77fbaf3b-a649-4583-ae1a-fe3cd9236fa6'",",'Col':",COLUMN(BCTaiSan_DTGTNN!C5),",'Row':",ROW(BCTaiSan_DTGTNN!C5),",","'Format':'numberic'",",'Value':'",SUBSTITUTE(BCTaiSan_DTGTNN!C5,"'","\'"),"','TargetCode':''}")</f>
        <v>{'SheetId':'b728798b-1c5c-4ec0-b355-f3d79005d0c1','UId':'77fbaf3b-a649-4583-ae1a-fe3cd9236fa6','Col':3,'Row':5,'Format':'numberic','Value':' ','TargetCode':''}</v>
      </c>
    </row>
    <row r="607" spans="1:1" x14ac:dyDescent="0.2">
      <c r="A607" t="str">
        <f>CONCATENATE("{'SheetId':'b728798b-1c5c-4ec0-b355-f3d79005d0c1'",",","'UId':'1f05cf5b-e787-4635-bfbc-3dd5730ae17a'",",'Col':",COLUMN(BCTaiSan_DTGTNN!D5),",'Row':",ROW(BCTaiSan_DTGTNN!D5),",","'Format':'numberic'",",'Value':'",SUBSTITUTE(BCTaiSan_DTGTNN!D5,"'","\'"),"','TargetCode':''}")</f>
        <v>{'SheetId':'b728798b-1c5c-4ec0-b355-f3d79005d0c1','UId':'1f05cf5b-e787-4635-bfbc-3dd5730ae17a','Col':4,'Row':5,'Format':'numberic','Value':' ','TargetCode':''}</v>
      </c>
    </row>
    <row r="608" spans="1:1" x14ac:dyDescent="0.2">
      <c r="A608" t="str">
        <f>CONCATENATE("{'SheetId':'b728798b-1c5c-4ec0-b355-f3d79005d0c1'",",","'UId':'abb6b99c-d1d1-42dd-ba44-22cffbb9b897'",",'Col':",COLUMN(BCTaiSan_DTGTNN!E5),",'Row':",ROW(BCTaiSan_DTGTNN!E5),",","'Format':'numberic'",",'Value':'",SUBSTITUTE(BCTaiSan_DTGTNN!E5,"'","\'"),"','TargetCode':''}")</f>
        <v>{'SheetId':'b728798b-1c5c-4ec0-b355-f3d79005d0c1','UId':'abb6b99c-d1d1-42dd-ba44-22cffbb9b897','Col':5,'Row':5,'Format':'numberic','Value':' ','TargetCode':''}</v>
      </c>
    </row>
    <row r="609" spans="1:1" x14ac:dyDescent="0.2">
      <c r="A609" t="str">
        <f>CONCATENATE("{'SheetId':'b728798b-1c5c-4ec0-b355-f3d79005d0c1'",",","'UId':'ac89e197-e04c-430f-85a3-e138a583b667'",",'Col':",COLUMN(BCTaiSan_DTGTNN!F5),",'Row':",ROW(BCTaiSan_DTGTNN!F5),",","'Format':'numberic'",",'Value':'",SUBSTITUTE(BCTaiSan_DTGTNN!F5,"'","\'"),"','TargetCode':''}")</f>
        <v>{'SheetId':'b728798b-1c5c-4ec0-b355-f3d79005d0c1','UId':'ac89e197-e04c-430f-85a3-e138a583b667','Col':6,'Row':5,'Format':'numberic','Value':' ','TargetCode':''}</v>
      </c>
    </row>
    <row r="610" spans="1:1" x14ac:dyDescent="0.2">
      <c r="A610" t="str">
        <f>CONCATENATE("{'SheetId':'b728798b-1c5c-4ec0-b355-f3d79005d0c1'",",","'UId':'9347f5b3-b3b3-4641-9128-7688dc76538b'",",'Col':",COLUMN(BCTaiSan_DTGTNN!G5),",'Row':",ROW(BCTaiSan_DTGTNN!G5),",","'Format':'numberic'",",'Value':'",SUBSTITUTE(BCTaiSan_DTGTNN!G5,"'","\'"),"','TargetCode':''}")</f>
        <v>{'SheetId':'b728798b-1c5c-4ec0-b355-f3d79005d0c1','UId':'9347f5b3-b3b3-4641-9128-7688dc76538b','Col':7,'Row':5,'Format':'numberic','Value':' ','TargetCode':''}</v>
      </c>
    </row>
    <row r="611" spans="1:1" x14ac:dyDescent="0.2">
      <c r="A611" t="str">
        <f>CONCATENATE("{'SheetId':'b728798b-1c5c-4ec0-b355-f3d79005d0c1'",",","'UId':'4cf347a9-a43e-4f5d-a08e-fe3a6dc7da27'",",'Col':",COLUMN(BCTaiSan_DTGTNN!C6),",'Row':",ROW(BCTaiSan_DTGTNN!C6),",","'Format':'numberic'",",'Value':'",SUBSTITUTE(BCTaiSan_DTGTNN!C6,"'","\'"),"','TargetCode':''}")</f>
        <v>{'SheetId':'b728798b-1c5c-4ec0-b355-f3d79005d0c1','UId':'4cf347a9-a43e-4f5d-a08e-fe3a6dc7da27','Col':3,'Row':6,'Format':'numberic','Value':' ','TargetCode':''}</v>
      </c>
    </row>
    <row r="612" spans="1:1" x14ac:dyDescent="0.2">
      <c r="A612" t="str">
        <f>CONCATENATE("{'SheetId':'b728798b-1c5c-4ec0-b355-f3d79005d0c1'",",","'UId':'11f924f7-e96a-4744-b1a0-554175156e12'",",'Col':",COLUMN(BCTaiSan_DTGTNN!D6),",'Row':",ROW(BCTaiSan_DTGTNN!D6),",","'Format':'numberic'",",'Value':'",SUBSTITUTE(BCTaiSan_DTGTNN!D6,"'","\'"),"','TargetCode':''}")</f>
        <v>{'SheetId':'b728798b-1c5c-4ec0-b355-f3d79005d0c1','UId':'11f924f7-e96a-4744-b1a0-554175156e12','Col':4,'Row':6,'Format':'numberic','Value':' ','TargetCode':''}</v>
      </c>
    </row>
    <row r="613" spans="1:1" x14ac:dyDescent="0.2">
      <c r="A613" t="str">
        <f>CONCATENATE("{'SheetId':'b728798b-1c5c-4ec0-b355-f3d79005d0c1'",",","'UId':'94fbed7d-3c83-49b2-bdd8-5972d6b2102e'",",'Col':",COLUMN(BCTaiSan_DTGTNN!E6),",'Row':",ROW(BCTaiSan_DTGTNN!E6),",","'Format':'numberic'",",'Value':'",SUBSTITUTE(BCTaiSan_DTGTNN!E6,"'","\'"),"','TargetCode':''}")</f>
        <v>{'SheetId':'b728798b-1c5c-4ec0-b355-f3d79005d0c1','UId':'94fbed7d-3c83-49b2-bdd8-5972d6b2102e','Col':5,'Row':6,'Format':'numberic','Value':' ','TargetCode':''}</v>
      </c>
    </row>
    <row r="614" spans="1:1" x14ac:dyDescent="0.2">
      <c r="A614" t="str">
        <f>CONCATENATE("{'SheetId':'b728798b-1c5c-4ec0-b355-f3d79005d0c1'",",","'UId':'b6365396-c3a5-43eb-864b-fd068f3de1e4'",",'Col':",COLUMN(BCTaiSan_DTGTNN!F6),",'Row':",ROW(BCTaiSan_DTGTNN!F6),",","'Format':'numberic'",",'Value':'",SUBSTITUTE(BCTaiSan_DTGTNN!F6,"'","\'"),"','TargetCode':''}")</f>
        <v>{'SheetId':'b728798b-1c5c-4ec0-b355-f3d79005d0c1','UId':'b6365396-c3a5-43eb-864b-fd068f3de1e4','Col':6,'Row':6,'Format':'numberic','Value':' ','TargetCode':''}</v>
      </c>
    </row>
    <row r="615" spans="1:1" x14ac:dyDescent="0.2">
      <c r="A615" t="str">
        <f>CONCATENATE("{'SheetId':'b728798b-1c5c-4ec0-b355-f3d79005d0c1'",",","'UId':'2e378dac-7b09-42b9-bd5e-5c6800cce684'",",'Col':",COLUMN(BCTaiSan_DTGTNN!G6),",'Row':",ROW(BCTaiSan_DTGTNN!G6),",","'Format':'numberic'",",'Value':'",SUBSTITUTE(BCTaiSan_DTGTNN!G6,"'","\'"),"','TargetCode':''}")</f>
        <v>{'SheetId':'b728798b-1c5c-4ec0-b355-f3d79005d0c1','UId':'2e378dac-7b09-42b9-bd5e-5c6800cce684','Col':7,'Row':6,'Format':'numberic','Value':' ','TargetCode':''}</v>
      </c>
    </row>
    <row r="616" spans="1:1" x14ac:dyDescent="0.2">
      <c r="A616" t="str">
        <f>CONCATENATE("{'SheetId':'b728798b-1c5c-4ec0-b355-f3d79005d0c1'",",","'UId':'d68deeb7-abf6-4636-8791-299b2c4ab918'",",'Col':",COLUMN(BCTaiSan_DTGTNN!C7),",'Row':",ROW(BCTaiSan_DTGTNN!C7),",","'Format':'numberic'",",'Value':'",SUBSTITUTE(BCTaiSan_DTGTNN!C7,"'","\'"),"','TargetCode':''}")</f>
        <v>{'SheetId':'b728798b-1c5c-4ec0-b355-f3d79005d0c1','UId':'d68deeb7-abf6-4636-8791-299b2c4ab918','Col':3,'Row':7,'Format':'numberic','Value':' ','TargetCode':''}</v>
      </c>
    </row>
    <row r="617" spans="1:1" x14ac:dyDescent="0.2">
      <c r="A617" t="str">
        <f>CONCATENATE("{'SheetId':'b728798b-1c5c-4ec0-b355-f3d79005d0c1'",",","'UId':'8002474a-2a87-480f-aa79-0917d06e5fb4'",",'Col':",COLUMN(BCTaiSan_DTGTNN!D7),",'Row':",ROW(BCTaiSan_DTGTNN!D7),",","'Format':'numberic'",",'Value':'",SUBSTITUTE(BCTaiSan_DTGTNN!D7,"'","\'"),"','TargetCode':''}")</f>
        <v>{'SheetId':'b728798b-1c5c-4ec0-b355-f3d79005d0c1','UId':'8002474a-2a87-480f-aa79-0917d06e5fb4','Col':4,'Row':7,'Format':'numberic','Value':' ','TargetCode':''}</v>
      </c>
    </row>
    <row r="618" spans="1:1" x14ac:dyDescent="0.2">
      <c r="A618" t="str">
        <f>CONCATENATE("{'SheetId':'b728798b-1c5c-4ec0-b355-f3d79005d0c1'",",","'UId':'07e13d84-e272-4e2a-831e-044916cf953b'",",'Col':",COLUMN(BCTaiSan_DTGTNN!E7),",'Row':",ROW(BCTaiSan_DTGTNN!E7),",","'Format':'numberic'",",'Value':'",SUBSTITUTE(BCTaiSan_DTGTNN!E7,"'","\'"),"','TargetCode':''}")</f>
        <v>{'SheetId':'b728798b-1c5c-4ec0-b355-f3d79005d0c1','UId':'07e13d84-e272-4e2a-831e-044916cf953b','Col':5,'Row':7,'Format':'numberic','Value':' ','TargetCode':''}</v>
      </c>
    </row>
    <row r="619" spans="1:1" x14ac:dyDescent="0.2">
      <c r="A619" t="str">
        <f>CONCATENATE("{'SheetId':'b728798b-1c5c-4ec0-b355-f3d79005d0c1'",",","'UId':'b2760b9f-4ffe-4ae0-b376-a92588974f2f'",",'Col':",COLUMN(BCTaiSan_DTGTNN!F7),",'Row':",ROW(BCTaiSan_DTGTNN!F7),",","'Format':'numberic'",",'Value':'",SUBSTITUTE(BCTaiSan_DTGTNN!F7,"'","\'"),"','TargetCode':''}")</f>
        <v>{'SheetId':'b728798b-1c5c-4ec0-b355-f3d79005d0c1','UId':'b2760b9f-4ffe-4ae0-b376-a92588974f2f','Col':6,'Row':7,'Format':'numberic','Value':' ','TargetCode':''}</v>
      </c>
    </row>
    <row r="620" spans="1:1" x14ac:dyDescent="0.2">
      <c r="A620" t="str">
        <f>CONCATENATE("{'SheetId':'b728798b-1c5c-4ec0-b355-f3d79005d0c1'",",","'UId':'9978c2ed-5293-4317-b908-25d2014d4358'",",'Col':",COLUMN(BCTaiSan_DTGTNN!G7),",'Row':",ROW(BCTaiSan_DTGTNN!G7),",","'Format':'numberic'",",'Value':'",SUBSTITUTE(BCTaiSan_DTGTNN!G7,"'","\'"),"','TargetCode':''}")</f>
        <v>{'SheetId':'b728798b-1c5c-4ec0-b355-f3d79005d0c1','UId':'9978c2ed-5293-4317-b908-25d2014d4358','Col':7,'Row':7,'Format':'numberic','Value':' ','TargetCode':''}</v>
      </c>
    </row>
    <row r="621" spans="1:1" x14ac:dyDescent="0.2">
      <c r="A621" t="str">
        <f>CONCATENATE("{'SheetId':'b728798b-1c5c-4ec0-b355-f3d79005d0c1'",",","'UId':'12e7dd21-6c4c-4546-84e7-0e25e9401978'",",'Col':",COLUMN(BCTaiSan_DTGTNN!A9),",'Row':",ROW(BCTaiSan_DTGTNN!A9),",","'ColDynamic':",COLUMN(BCTaiSan_DTGTNN!A8),",","'RowDynamic':",ROW(BCTaiSan_DTGTNN!A8),",","'Format':'string'",",'Value':'",SUBSTITUTE(BCTaiSan_DTGTNN!A9,"'","\'"),"','TargetCode':''}")</f>
        <v>{'SheetId':'b728798b-1c5c-4ec0-b355-f3d79005d0c1','UId':'12e7dd21-6c4c-4546-84e7-0e25e9401978','Col':1,'Row':9,'ColDynamic':1,'RowDynamic':8,'Format':'string','Value':'I.3','TargetCode':''}</v>
      </c>
    </row>
    <row r="622" spans="1:1" x14ac:dyDescent="0.2">
      <c r="A622" t="str">
        <f>CONCATENATE("{'SheetId':'b728798b-1c5c-4ec0-b355-f3d79005d0c1'",",","'UId':'4da4b7a4-8085-48fc-aae0-798c5e8f33d0'",",'Col':",COLUMN(BCTaiSan_DTGTNN!B9),",'Row':",ROW(BCTaiSan_DTGTNN!B9),",","'ColDynamic':",COLUMN(BCTaiSan_DTGTNN!B8),",","'RowDynamic':",ROW(BCTaiSan_DTGTNN!B8),",","'Format':'string'",",'Value':'",SUBSTITUTE(BCTaiSan_DTGTNN!B9,"'","\'"),"','TargetCode':''}")</f>
        <v>{'SheetId':'b728798b-1c5c-4ec0-b355-f3d79005d0c1','UId':'4da4b7a4-8085-48fc-aae0-798c5e8f33d0','Col':2,'Row':9,'ColDynamic':2,'RowDynamic':8,'Format':'string','Value':'Cổ tức, trái tức được nhận','TargetCode':''}</v>
      </c>
    </row>
    <row r="623" spans="1:1" x14ac:dyDescent="0.2">
      <c r="A623" t="str">
        <f>CONCATENATE("{'SheetId':'b728798b-1c5c-4ec0-b355-f3d79005d0c1'",",","'UId':'a5113cb8-3fcc-4058-8ef8-7c8401807051'",",'Col':",COLUMN(BCTaiSan_DTGTNN!C9),",'Row':",ROW(BCTaiSan_DTGTNN!C9),",","'ColDynamic':",COLUMN(BCTaiSan_DTGTNN!C8),",","'RowDynamic':",ROW(BCTaiSan_DTGTNN!C8),",","'Format':'numberic'",",'Value':'",SUBSTITUTE(BCTaiSan_DTGTNN!C9,"'","\'"),"','TargetCode':''}")</f>
        <v>{'SheetId':'b728798b-1c5c-4ec0-b355-f3d79005d0c1','UId':'a5113cb8-3fcc-4058-8ef8-7c8401807051','Col':3,'Row':9,'ColDynamic':3,'RowDynamic':8,'Format':'numberic','Value':' ','TargetCode':''}</v>
      </c>
    </row>
    <row r="624" spans="1:1" x14ac:dyDescent="0.2">
      <c r="A624" t="str">
        <f>CONCATENATE("{'SheetId':'b728798b-1c5c-4ec0-b355-f3d79005d0c1'",",","'UId':'756180f0-d3b7-4d12-827c-7572805b3e0c'",",'Col':",COLUMN(BCTaiSan_DTGTNN!D9),",'Row':",ROW(BCTaiSan_DTGTNN!D9),",","'ColDynamic':",COLUMN(BCTaiSan_DTGTNN!D8),",","'RowDynamic':",ROW(BCTaiSan_DTGTNN!D8),",","'Format':'numberic'",",'Value':'",SUBSTITUTE(BCTaiSan_DTGTNN!D9,"'","\'"),"','TargetCode':''}")</f>
        <v>{'SheetId':'b728798b-1c5c-4ec0-b355-f3d79005d0c1','UId':'756180f0-d3b7-4d12-827c-7572805b3e0c','Col':4,'Row':9,'ColDynamic':4,'RowDynamic':8,'Format':'numberic','Value':' ','TargetCode':''}</v>
      </c>
    </row>
    <row r="625" spans="1:1" x14ac:dyDescent="0.2">
      <c r="A625" t="str">
        <f>CONCATENATE("{'SheetId':'b728798b-1c5c-4ec0-b355-f3d79005d0c1'",",","'UId':'ae1ed998-9780-44b0-b4a7-c285a6ff3dca'",",'Col':",COLUMN(BCTaiSan_DTGTNN!E9),",'Row':",ROW(BCTaiSan_DTGTNN!E9),",","'ColDynamic':",COLUMN(BCTaiSan_DTGTNN!E8),",","'RowDynamic':",ROW(BCTaiSan_DTGTNN!E8),",","'Format':'numberic'",",'Value':'",SUBSTITUTE(BCTaiSan_DTGTNN!E9,"'","\'"),"','TargetCode':''}")</f>
        <v>{'SheetId':'b728798b-1c5c-4ec0-b355-f3d79005d0c1','UId':'ae1ed998-9780-44b0-b4a7-c285a6ff3dca','Col':5,'Row':9,'ColDynamic':5,'RowDynamic':8,'Format':'numberic','Value':' ','TargetCode':''}</v>
      </c>
    </row>
    <row r="626" spans="1:1" x14ac:dyDescent="0.2">
      <c r="A626" t="str">
        <f>CONCATENATE("{'SheetId':'b728798b-1c5c-4ec0-b355-f3d79005d0c1'",",","'UId':'7b5ab796-7fc4-40a1-972d-8c05f9e0eaea'",",'Col':",COLUMN(BCTaiSan_DTGTNN!F9),",'Row':",ROW(BCTaiSan_DTGTNN!F9),",","'ColDynamic':",COLUMN(BCTaiSan_DTGTNN!F8),",","'RowDynamic':",ROW(BCTaiSan_DTGTNN!F8),",","'Format':'numberic'",",'Value':'",SUBSTITUTE(BCTaiSan_DTGTNN!F9,"'","\'"),"','TargetCode':''}")</f>
        <v>{'SheetId':'b728798b-1c5c-4ec0-b355-f3d79005d0c1','UId':'7b5ab796-7fc4-40a1-972d-8c05f9e0eaea','Col':6,'Row':9,'ColDynamic':6,'RowDynamic':8,'Format':'numberic','Value':' ','TargetCode':''}</v>
      </c>
    </row>
    <row r="627" spans="1:1" x14ac:dyDescent="0.2">
      <c r="A627" t="str">
        <f>CONCATENATE("{'SheetId':'b728798b-1c5c-4ec0-b355-f3d79005d0c1'",",","'UId':'7252b253-eaf9-4118-8389-1c78f42a7ce4'",",'Col':",COLUMN(BCTaiSan_DTGTNN!G9),",'Row':",ROW(BCTaiSan_DTGTNN!G9),",","'ColDynamic':",COLUMN(BCTaiSan_DTGTNN!G8),",","'RowDynamic':",ROW(BCTaiSan_DTGTNN!G8),",","'Format':'numberic'",",'Value':'",SUBSTITUTE(BCTaiSan_DTGTNN!G9,"'","\'"),"','TargetCode':''}")</f>
        <v>{'SheetId':'b728798b-1c5c-4ec0-b355-f3d79005d0c1','UId':'7252b253-eaf9-4118-8389-1c78f42a7ce4','Col':7,'Row':9,'ColDynamic':7,'RowDynamic':8,'Format':'numberic','Value':' ','TargetCode':''}</v>
      </c>
    </row>
    <row r="628" spans="1:1" x14ac:dyDescent="0.2">
      <c r="A628" t="str">
        <f>CONCATENATE("{'SheetId':'b728798b-1c5c-4ec0-b355-f3d79005d0c1'",",","'UId':'41710fc0-3577-4943-8e3d-364fa83d72e8'",",'Col':",COLUMN(BCTaiSan_DTGTNN!A11),",'Row':",ROW(BCTaiSan_DTGTNN!A11),",","'ColDynamic':",COLUMN(BCTaiSan_DTGTNN!A10),",","'RowDynamic':",ROW(BCTaiSan_DTGTNN!A10),",","'Format':'string'",",'Value':'",SUBSTITUTE(BCTaiSan_DTGTNN!A11,"'","\'"),"','TargetCode':''}")</f>
        <v>{'SheetId':'b728798b-1c5c-4ec0-b355-f3d79005d0c1','UId':'41710fc0-3577-4943-8e3d-364fa83d72e8','Col':1,'Row':11,'ColDynamic':1,'RowDynamic':10,'Format':'string','Value':'I.4','TargetCode':''}</v>
      </c>
    </row>
    <row r="629" spans="1:1" x14ac:dyDescent="0.2">
      <c r="A629" t="str">
        <f>CONCATENATE("{'SheetId':'b728798b-1c5c-4ec0-b355-f3d79005d0c1'",",","'UId':'c7e51ad7-1697-417e-8fad-4d6203490f74'",",'Col':",COLUMN(BCTaiSan_DTGTNN!B11),",'Row':",ROW(BCTaiSan_DTGTNN!B11),",","'ColDynamic':",COLUMN(BCTaiSan_DTGTNN!B10),",","'RowDynamic':",ROW(BCTaiSan_DTGTNN!B10),",","'Format':'string'",",'Value':'",SUBSTITUTE(BCTaiSan_DTGTNN!B11,"'","\'"),"','TargetCode':''}")</f>
        <v>{'SheetId':'b728798b-1c5c-4ec0-b355-f3d79005d0c1','UId':'c7e51ad7-1697-417e-8fad-4d6203490f74','Col':2,'Row':11,'ColDynamic':2,'RowDynamic':10,'Format':'string','Value':'Lãi được nhận','TargetCode':''}</v>
      </c>
    </row>
    <row r="630" spans="1:1" x14ac:dyDescent="0.2">
      <c r="A630" t="str">
        <f>CONCATENATE("{'SheetId':'b728798b-1c5c-4ec0-b355-f3d79005d0c1'",",","'UId':'5934d218-6470-4a51-a943-83c7dcef99bf'",",'Col':",COLUMN(BCTaiSan_DTGTNN!C11),",'Row':",ROW(BCTaiSan_DTGTNN!C11),",","'ColDynamic':",COLUMN(BCTaiSan_DTGTNN!C10),",","'RowDynamic':",ROW(BCTaiSan_DTGTNN!C10),",","'Format':'numberic'",",'Value':'",SUBSTITUTE(BCTaiSan_DTGTNN!C11,"'","\'"),"','TargetCode':''}")</f>
        <v>{'SheetId':'b728798b-1c5c-4ec0-b355-f3d79005d0c1','UId':'5934d218-6470-4a51-a943-83c7dcef99bf','Col':3,'Row':11,'ColDynamic':3,'RowDynamic':10,'Format':'numberic','Value':' ','TargetCode':''}</v>
      </c>
    </row>
    <row r="631" spans="1:1" x14ac:dyDescent="0.2">
      <c r="A631" t="str">
        <f>CONCATENATE("{'SheetId':'b728798b-1c5c-4ec0-b355-f3d79005d0c1'",",","'UId':'8dad86b0-21dd-4a5c-b192-c88e3da71c8d'",",'Col':",COLUMN(BCTaiSan_DTGTNN!D11),",'Row':",ROW(BCTaiSan_DTGTNN!D11),",","'ColDynamic':",COLUMN(BCTaiSan_DTGTNN!D10),",","'RowDynamic':",ROW(BCTaiSan_DTGTNN!D10),",","'Format':'numberic'",",'Value':'",SUBSTITUTE(BCTaiSan_DTGTNN!D11,"'","\'"),"','TargetCode':''}")</f>
        <v>{'SheetId':'b728798b-1c5c-4ec0-b355-f3d79005d0c1','UId':'8dad86b0-21dd-4a5c-b192-c88e3da71c8d','Col':4,'Row':11,'ColDynamic':4,'RowDynamic':10,'Format':'numberic','Value':' ','TargetCode':''}</v>
      </c>
    </row>
    <row r="632" spans="1:1" x14ac:dyDescent="0.2">
      <c r="A632" t="str">
        <f>CONCATENATE("{'SheetId':'b728798b-1c5c-4ec0-b355-f3d79005d0c1'",",","'UId':'53108368-4947-4043-b1c4-8c723c746ea9'",",'Col':",COLUMN(BCTaiSan_DTGTNN!E11),",'Row':",ROW(BCTaiSan_DTGTNN!E11),",","'ColDynamic':",COLUMN(BCTaiSan_DTGTNN!E10),",","'RowDynamic':",ROW(BCTaiSan_DTGTNN!E10),",","'Format':'numberic'",",'Value':'",SUBSTITUTE(BCTaiSan_DTGTNN!E11,"'","\'"),"','TargetCode':''}")</f>
        <v>{'SheetId':'b728798b-1c5c-4ec0-b355-f3d79005d0c1','UId':'53108368-4947-4043-b1c4-8c723c746ea9','Col':5,'Row':11,'ColDynamic':5,'RowDynamic':10,'Format':'numberic','Value':' ','TargetCode':''}</v>
      </c>
    </row>
    <row r="633" spans="1:1" x14ac:dyDescent="0.2">
      <c r="A633" t="str">
        <f>CONCATENATE("{'SheetId':'b728798b-1c5c-4ec0-b355-f3d79005d0c1'",",","'UId':'3d4005be-02ff-4223-af74-606785f67d5c'",",'Col':",COLUMN(BCTaiSan_DTGTNN!F11),",'Row':",ROW(BCTaiSan_DTGTNN!F11),",","'ColDynamic':",COLUMN(BCTaiSan_DTGTNN!F10),",","'RowDynamic':",ROW(BCTaiSan_DTGTNN!F10),",","'Format':'numberic'",",'Value':'",SUBSTITUTE(BCTaiSan_DTGTNN!F11,"'","\'"),"','TargetCode':''}")</f>
        <v>{'SheetId':'b728798b-1c5c-4ec0-b355-f3d79005d0c1','UId':'3d4005be-02ff-4223-af74-606785f67d5c','Col':6,'Row':11,'ColDynamic':6,'RowDynamic':10,'Format':'numberic','Value':' ','TargetCode':''}</v>
      </c>
    </row>
    <row r="634" spans="1:1" x14ac:dyDescent="0.2">
      <c r="A634" t="str">
        <f>CONCATENATE("{'SheetId':'b728798b-1c5c-4ec0-b355-f3d79005d0c1'",",","'UId':'c46de26f-ec85-4e33-825d-68ce8f26d627'",",'Col':",COLUMN(BCTaiSan_DTGTNN!G11),",'Row':",ROW(BCTaiSan_DTGTNN!G11),",","'ColDynamic':",COLUMN(BCTaiSan_DTGTNN!G10),",","'RowDynamic':",ROW(BCTaiSan_DTGTNN!G10),",","'Format':'numberic'",",'Value':'",SUBSTITUTE(BCTaiSan_DTGTNN!G11,"'","\'"),"','TargetCode':''}")</f>
        <v>{'SheetId':'b728798b-1c5c-4ec0-b355-f3d79005d0c1','UId':'c46de26f-ec85-4e33-825d-68ce8f26d627','Col':7,'Row':11,'ColDynamic':7,'RowDynamic':10,'Format':'numberic','Value':' ','TargetCode':''}</v>
      </c>
    </row>
    <row r="635" spans="1:1" x14ac:dyDescent="0.2">
      <c r="A635" t="str">
        <f>CONCATENATE("{'SheetId':'b728798b-1c5c-4ec0-b355-f3d79005d0c1'",",","'UId':'b4acd83a-2c11-4952-bc3d-7064a9cc3903'",",'Col':",COLUMN(BCTaiSan_DTGTNN!A13),",'Row':",ROW(BCTaiSan_DTGTNN!A13),",","'ColDynamic':",COLUMN(BCTaiSan_DTGTNN!A12),",","'RowDynamic':",ROW(BCTaiSan_DTGTNN!A12),",","'Format':'string'",",'Value':'",SUBSTITUTE(BCTaiSan_DTGTNN!A13,"'","\'"),"','TargetCode':''}")</f>
        <v>{'SheetId':'b728798b-1c5c-4ec0-b355-f3d79005d0c1','UId':'b4acd83a-2c11-4952-bc3d-7064a9cc3903','Col':1,'Row':13,'ColDynamic':1,'RowDynamic':12,'Format':'string','Value':'I.5','TargetCode':''}</v>
      </c>
    </row>
    <row r="636" spans="1:1" x14ac:dyDescent="0.2">
      <c r="A636" t="str">
        <f>CONCATENATE("{'SheetId':'b728798b-1c5c-4ec0-b355-f3d79005d0c1'",",","'UId':'b6ca0c32-11a5-4e7c-962f-902bd11381e2'",",'Col':",COLUMN(BCTaiSan_DTGTNN!B13),",'Row':",ROW(BCTaiSan_DTGTNN!B13),",","'ColDynamic':",COLUMN(BCTaiSan_DTGTNN!B12),",","'RowDynamic':",ROW(BCTaiSan_DTGTNN!B12),",","'Format':'string'",",'Value':'",SUBSTITUTE(BCTaiSan_DTGTNN!B13,"'","\'"),"','TargetCode':''}")</f>
        <v>{'SheetId':'b728798b-1c5c-4ec0-b355-f3d79005d0c1','UId':'b6ca0c32-11a5-4e7c-962f-902bd11381e2','Col':2,'Row':13,'ColDynamic':2,'RowDynamic':12,'Format':'string','Value':'Tiền bán chứng khoán chờ thu (kê chi tiết)','TargetCode':''}</v>
      </c>
    </row>
    <row r="637" spans="1:1" x14ac:dyDescent="0.2">
      <c r="A637" t="str">
        <f>CONCATENATE("{'SheetId':'b728798b-1c5c-4ec0-b355-f3d79005d0c1'",",","'UId':'7122d796-58e0-45d9-987a-ffd4d264dd45'",",'Col':",COLUMN(BCTaiSan_DTGTNN!C13),",'Row':",ROW(BCTaiSan_DTGTNN!C13),",","'ColDynamic':",COLUMN(BCTaiSan_DTGTNN!C12),",","'RowDynamic':",ROW(BCTaiSan_DTGTNN!C12),",","'Format':'numberic'",",'Value':'",SUBSTITUTE(BCTaiSan_DTGTNN!C13,"'","\'"),"','TargetCode':''}")</f>
        <v>{'SheetId':'b728798b-1c5c-4ec0-b355-f3d79005d0c1','UId':'7122d796-58e0-45d9-987a-ffd4d264dd45','Col':3,'Row':13,'ColDynamic':3,'RowDynamic':12,'Format':'numberic','Value':' ','TargetCode':''}</v>
      </c>
    </row>
    <row r="638" spans="1:1" x14ac:dyDescent="0.2">
      <c r="A638" t="str">
        <f>CONCATENATE("{'SheetId':'b728798b-1c5c-4ec0-b355-f3d79005d0c1'",",","'UId':'c052f94d-4bee-4823-ba20-a5e20f9d851d'",",'Col':",COLUMN(BCTaiSan_DTGTNN!D13),",'Row':",ROW(BCTaiSan_DTGTNN!D13),",","'ColDynamic':",COLUMN(BCTaiSan_DTGTNN!D12),",","'RowDynamic':",ROW(BCTaiSan_DTGTNN!D12),",","'Format':'numberic'",",'Value':'",SUBSTITUTE(BCTaiSan_DTGTNN!D13,"'","\'"),"','TargetCode':''}")</f>
        <v>{'SheetId':'b728798b-1c5c-4ec0-b355-f3d79005d0c1','UId':'c052f94d-4bee-4823-ba20-a5e20f9d851d','Col':4,'Row':13,'ColDynamic':4,'RowDynamic':12,'Format':'numberic','Value':' ','TargetCode':''}</v>
      </c>
    </row>
    <row r="639" spans="1:1" x14ac:dyDescent="0.2">
      <c r="A639" t="str">
        <f>CONCATENATE("{'SheetId':'b728798b-1c5c-4ec0-b355-f3d79005d0c1'",",","'UId':'1f19d8b4-7ed6-419a-a6f2-1c3668712743'",",'Col':",COLUMN(BCTaiSan_DTGTNN!E13),",'Row':",ROW(BCTaiSan_DTGTNN!E13),",","'ColDynamic':",COLUMN(BCTaiSan_DTGTNN!E12),",","'RowDynamic':",ROW(BCTaiSan_DTGTNN!E12),",","'Format':'numberic'",",'Value':'",SUBSTITUTE(BCTaiSan_DTGTNN!E13,"'","\'"),"','TargetCode':''}")</f>
        <v>{'SheetId':'b728798b-1c5c-4ec0-b355-f3d79005d0c1','UId':'1f19d8b4-7ed6-419a-a6f2-1c3668712743','Col':5,'Row':13,'ColDynamic':5,'RowDynamic':12,'Format':'numberic','Value':' ','TargetCode':''}</v>
      </c>
    </row>
    <row r="640" spans="1:1" x14ac:dyDescent="0.2">
      <c r="A640" t="str">
        <f>CONCATENATE("{'SheetId':'b728798b-1c5c-4ec0-b355-f3d79005d0c1'",",","'UId':'0377164a-7569-4ce8-b9b1-4de802cd695a'",",'Col':",COLUMN(BCTaiSan_DTGTNN!F13),",'Row':",ROW(BCTaiSan_DTGTNN!F13),",","'ColDynamic':",COLUMN(BCTaiSan_DTGTNN!F12),",","'RowDynamic':",ROW(BCTaiSan_DTGTNN!F12),",","'Format':'numberic'",",'Value':'",SUBSTITUTE(BCTaiSan_DTGTNN!F13,"'","\'"),"','TargetCode':''}")</f>
        <v>{'SheetId':'b728798b-1c5c-4ec0-b355-f3d79005d0c1','UId':'0377164a-7569-4ce8-b9b1-4de802cd695a','Col':6,'Row':13,'ColDynamic':6,'RowDynamic':12,'Format':'numberic','Value':' ','TargetCode':''}</v>
      </c>
    </row>
    <row r="641" spans="1:1" x14ac:dyDescent="0.2">
      <c r="A641" t="str">
        <f>CONCATENATE("{'SheetId':'b728798b-1c5c-4ec0-b355-f3d79005d0c1'",",","'UId':'1665e973-95a3-4d36-80fa-a1c812f257d4'",",'Col':",COLUMN(BCTaiSan_DTGTNN!G13),",'Row':",ROW(BCTaiSan_DTGTNN!G13),",","'ColDynamic':",COLUMN(BCTaiSan_DTGTNN!G12),",","'RowDynamic':",ROW(BCTaiSan_DTGTNN!G12),",","'Format':'numberic'",",'Value':'",SUBSTITUTE(BCTaiSan_DTGTNN!G13,"'","\'"),"','TargetCode':''}")</f>
        <v>{'SheetId':'b728798b-1c5c-4ec0-b355-f3d79005d0c1','UId':'1665e973-95a3-4d36-80fa-a1c812f257d4','Col':7,'Row':13,'ColDynamic':7,'RowDynamic':12,'Format':'numberic','Value':' ','TargetCode':''}</v>
      </c>
    </row>
    <row r="642" spans="1:1" x14ac:dyDescent="0.2">
      <c r="A642" t="str">
        <f>CONCATENATE("{'SheetId':'b728798b-1c5c-4ec0-b355-f3d79005d0c1'",",","'UId':'a23241a8-9c45-4e74-b0c2-b14b48e4eb21'",",'Col':",COLUMN(BCTaiSan_DTGTNN!A15),",'Row':",ROW(BCTaiSan_DTGTNN!A15),",","'ColDynamic':",COLUMN(BCTaiSan_DTGTNN!A12),",","'RowDynamic':",ROW(BCTaiSan_DTGTNN!A12),",","'Format':'string'",",'Value':'",SUBSTITUTE(BCTaiSan_DTGTNN!A15,"'","\'"),"','TargetCode':''}")</f>
        <v>{'SheetId':'b728798b-1c5c-4ec0-b355-f3d79005d0c1','UId':'a23241a8-9c45-4e74-b0c2-b14b48e4eb21','Col':1,'Row':15,'ColDynamic':1,'RowDynamic':12,'Format':'string','Value':'I.6','TargetCode':''}</v>
      </c>
    </row>
    <row r="643" spans="1:1" x14ac:dyDescent="0.2">
      <c r="A643" t="str">
        <f>CONCATENATE("{'SheetId':'b728798b-1c5c-4ec0-b355-f3d79005d0c1'",",","'UId':'23d6ba44-bad5-4603-a2ba-5bbe512b6b78'",",'Col':",COLUMN(BCTaiSan_DTGTNN!B15),",'Row':",ROW(BCTaiSan_DTGTNN!B15),",","'ColDynamic':",COLUMN(BCTaiSan_DTGTNN!B12),",","'RowDynamic':",ROW(BCTaiSan_DTGTNN!B12),",","'Format':'string'",",'Value':'",SUBSTITUTE(BCTaiSan_DTGTNN!B15,"'","\'"),"','TargetCode':''}")</f>
        <v>{'SheetId':'b728798b-1c5c-4ec0-b355-f3d79005d0c1','UId':'23d6ba44-bad5-4603-a2ba-5bbe512b6b78','Col':2,'Row':15,'ColDynamic':2,'RowDynamic':12,'Format':'string','Value':'Các khoản phải thu khác','TargetCode':''}</v>
      </c>
    </row>
    <row r="644" spans="1:1" x14ac:dyDescent="0.2">
      <c r="A644" t="str">
        <f>CONCATENATE("{'SheetId':'b728798b-1c5c-4ec0-b355-f3d79005d0c1'",",","'UId':'5ae2222b-63d9-48b1-a960-e395f5be66f5'",",'Col':",COLUMN(BCTaiSan_DTGTNN!C15),",'Row':",ROW(BCTaiSan_DTGTNN!C15),",","'ColDynamic':",COLUMN(BCTaiSan_DTGTNN!C12),",","'RowDynamic':",ROW(BCTaiSan_DTGTNN!C12),",","'Format':'numberic'",",'Value':'",SUBSTITUTE(BCTaiSan_DTGTNN!C15,"'","\'"),"','TargetCode':''}")</f>
        <v>{'SheetId':'b728798b-1c5c-4ec0-b355-f3d79005d0c1','UId':'5ae2222b-63d9-48b1-a960-e395f5be66f5','Col':3,'Row':15,'ColDynamic':3,'RowDynamic':12,'Format':'numberic','Value':' ','TargetCode':''}</v>
      </c>
    </row>
    <row r="645" spans="1:1" x14ac:dyDescent="0.2">
      <c r="A645" t="str">
        <f>CONCATENATE("{'SheetId':'b728798b-1c5c-4ec0-b355-f3d79005d0c1'",",","'UId':'a8dc840d-32c1-4668-a23a-632a53519bed'",",'Col':",COLUMN(BCTaiSan_DTGTNN!D15),",'Row':",ROW(BCTaiSan_DTGTNN!D15),",","'ColDynamic':",COLUMN(BCTaiSan_DTGTNN!D12),",","'RowDynamic':",ROW(BCTaiSan_DTGTNN!D12),",","'Format':'numberic'",",'Value':'",SUBSTITUTE(BCTaiSan_DTGTNN!D15,"'","\'"),"','TargetCode':''}")</f>
        <v>{'SheetId':'b728798b-1c5c-4ec0-b355-f3d79005d0c1','UId':'a8dc840d-32c1-4668-a23a-632a53519bed','Col':4,'Row':15,'ColDynamic':4,'RowDynamic':12,'Format':'numberic','Value':' ','TargetCode':''}</v>
      </c>
    </row>
    <row r="646" spans="1:1" x14ac:dyDescent="0.2">
      <c r="A646" t="str">
        <f>CONCATENATE("{'SheetId':'b728798b-1c5c-4ec0-b355-f3d79005d0c1'",",","'UId':'24c722da-a8be-465a-bca3-0451885d50a5'",",'Col':",COLUMN(BCTaiSan_DTGTNN!E15),",'Row':",ROW(BCTaiSan_DTGTNN!E15),",","'ColDynamic':",COLUMN(BCTaiSan_DTGTNN!E12),",","'RowDynamic':",ROW(BCTaiSan_DTGTNN!E12),",","'Format':'numberic'",",'Value':'",SUBSTITUTE(BCTaiSan_DTGTNN!E15,"'","\'"),"','TargetCode':''}")</f>
        <v>{'SheetId':'b728798b-1c5c-4ec0-b355-f3d79005d0c1','UId':'24c722da-a8be-465a-bca3-0451885d50a5','Col':5,'Row':15,'ColDynamic':5,'RowDynamic':12,'Format':'numberic','Value':' ','TargetCode':''}</v>
      </c>
    </row>
    <row r="647" spans="1:1" x14ac:dyDescent="0.2">
      <c r="A647" t="str">
        <f>CONCATENATE("{'SheetId':'b728798b-1c5c-4ec0-b355-f3d79005d0c1'",",","'UId':'b480e21b-bbe0-4181-9601-8199f2af4185'",",'Col':",COLUMN(BCTaiSan_DTGTNN!F15),",'Row':",ROW(BCTaiSan_DTGTNN!F15),",","'ColDynamic':",COLUMN(BCTaiSan_DTGTNN!F12),",","'RowDynamic':",ROW(BCTaiSan_DTGTNN!F12),",","'Format':'numberic'",",'Value':'",SUBSTITUTE(BCTaiSan_DTGTNN!F15,"'","\'"),"','TargetCode':''}")</f>
        <v>{'SheetId':'b728798b-1c5c-4ec0-b355-f3d79005d0c1','UId':'b480e21b-bbe0-4181-9601-8199f2af4185','Col':6,'Row':15,'ColDynamic':6,'RowDynamic':12,'Format':'numberic','Value':' ','TargetCode':''}</v>
      </c>
    </row>
    <row r="648" spans="1:1" x14ac:dyDescent="0.2">
      <c r="A648" t="str">
        <f>CONCATENATE("{'SheetId':'b728798b-1c5c-4ec0-b355-f3d79005d0c1'",",","'UId':'08b2a5ff-c30a-42df-9e1e-90ba17ac2d36'",",'Col':",COLUMN(BCTaiSan_DTGTNN!G15),",'Row':",ROW(BCTaiSan_DTGTNN!G15),",","'ColDynamic':",COLUMN(BCTaiSan_DTGTNN!G12),",","'RowDynamic':",ROW(BCTaiSan_DTGTNN!G12),",","'Format':'numberic'",",'Value':'",SUBSTITUTE(BCTaiSan_DTGTNN!G15,"'","\'"),"','TargetCode':''}")</f>
        <v>{'SheetId':'b728798b-1c5c-4ec0-b355-f3d79005d0c1','UId':'08b2a5ff-c30a-42df-9e1e-90ba17ac2d36','Col':7,'Row':15,'ColDynamic':7,'RowDynamic':12,'Format':'numberic','Value':' ','TargetCode':''}</v>
      </c>
    </row>
    <row r="649" spans="1:1" x14ac:dyDescent="0.2">
      <c r="A649" t="str">
        <f>CONCATENATE("{'SheetId':'b728798b-1c5c-4ec0-b355-f3d79005d0c1'",",","'UId':'73e27fe0-5d73-46be-abd8-1823a93da068'",",'Col':",COLUMN(BCTaiSan_DTGTNN!A17),",'Row':",ROW(BCTaiSan_DTGTNN!A17),",","'ColDynamic':",COLUMN(BCTaiSan_DTGTNN!A14),",","'RowDynamic':",ROW(BCTaiSan_DTGTNN!A14),",","'Format':'string'",",'Value':'",SUBSTITUTE(BCTaiSan_DTGTNN!A17,"'","\'"),"','TargetCode':''}")</f>
        <v>{'SheetId':'b728798b-1c5c-4ec0-b355-f3d79005d0c1','UId':'73e27fe0-5d73-46be-abd8-1823a93da068','Col':1,'Row':17,'ColDynamic':1,'RowDynamic':14,'Format':'string','Value':'I.7','TargetCode':''}</v>
      </c>
    </row>
    <row r="650" spans="1:1" x14ac:dyDescent="0.2">
      <c r="A650" t="str">
        <f>CONCATENATE("{'SheetId':'b728798b-1c5c-4ec0-b355-f3d79005d0c1'",",","'UId':'a46d2143-0e4d-4dcc-a711-ba0cd986ac77'",",'Col':",COLUMN(BCTaiSan_DTGTNN!B17),",'Row':",ROW(BCTaiSan_DTGTNN!B17),",","'ColDynamic':",COLUMN(BCTaiSan_DTGTNN!B14),",","'RowDynamic':",ROW(BCTaiSan_DTGTNN!B14),",","'Format':'string'",",'Value':'",SUBSTITUTE(BCTaiSan_DTGTNN!B17,"'","\'"),"','TargetCode':''}")</f>
        <v>{'SheetId':'b728798b-1c5c-4ec0-b355-f3d79005d0c1','UId':'a46d2143-0e4d-4dcc-a711-ba0cd986ac77','Col':2,'Row':17,'ColDynamic':2,'RowDynamic':14,'Format':'string','Value':'Các tài sản khác','TargetCode':''}</v>
      </c>
    </row>
    <row r="651" spans="1:1" x14ac:dyDescent="0.2">
      <c r="A651" t="str">
        <f>CONCATENATE("{'SheetId':'b728798b-1c5c-4ec0-b355-f3d79005d0c1'",",","'UId':'389e7b58-d7f1-451e-b1ba-3af0b4a438f3'",",'Col':",COLUMN(BCTaiSan_DTGTNN!C17),",'Row':",ROW(BCTaiSan_DTGTNN!C17),",","'ColDynamic':",COLUMN(BCTaiSan_DTGTNN!C14),",","'RowDynamic':",ROW(BCTaiSan_DTGTNN!C14),",","'Format':'numberic'",",'Value':'",SUBSTITUTE(BCTaiSan_DTGTNN!C17,"'","\'"),"','TargetCode':''}")</f>
        <v>{'SheetId':'b728798b-1c5c-4ec0-b355-f3d79005d0c1','UId':'389e7b58-d7f1-451e-b1ba-3af0b4a438f3','Col':3,'Row':17,'ColDynamic':3,'RowDynamic':14,'Format':'numberic','Value':' ','TargetCode':''}</v>
      </c>
    </row>
    <row r="652" spans="1:1" x14ac:dyDescent="0.2">
      <c r="A652" t="str">
        <f>CONCATENATE("{'SheetId':'b728798b-1c5c-4ec0-b355-f3d79005d0c1'",",","'UId':'26f51b00-0f98-47bb-b1e3-d6e7be323271'",",'Col':",COLUMN(BCTaiSan_DTGTNN!D17),",'Row':",ROW(BCTaiSan_DTGTNN!D17),",","'ColDynamic':",COLUMN(BCTaiSan_DTGTNN!D14),",","'RowDynamic':",ROW(BCTaiSan_DTGTNN!D14),",","'Format':'numberic'",",'Value':'",SUBSTITUTE(BCTaiSan_DTGTNN!D17,"'","\'"),"','TargetCode':''}")</f>
        <v>{'SheetId':'b728798b-1c5c-4ec0-b355-f3d79005d0c1','UId':'26f51b00-0f98-47bb-b1e3-d6e7be323271','Col':4,'Row':17,'ColDynamic':4,'RowDynamic':14,'Format':'numberic','Value':' ','TargetCode':''}</v>
      </c>
    </row>
    <row r="653" spans="1:1" x14ac:dyDescent="0.2">
      <c r="A653" t="str">
        <f>CONCATENATE("{'SheetId':'b728798b-1c5c-4ec0-b355-f3d79005d0c1'",",","'UId':'2640043f-d3a5-486d-926d-273b4a6b51bd'",",'Col':",COLUMN(BCTaiSan_DTGTNN!E17),",'Row':",ROW(BCTaiSan_DTGTNN!E17),",","'ColDynamic':",COLUMN(BCTaiSan_DTGTNN!E14),",","'RowDynamic':",ROW(BCTaiSan_DTGTNN!E14),",","'Format':'numberic'",",'Value':'",SUBSTITUTE(BCTaiSan_DTGTNN!E17,"'","\'"),"','TargetCode':''}")</f>
        <v>{'SheetId':'b728798b-1c5c-4ec0-b355-f3d79005d0c1','UId':'2640043f-d3a5-486d-926d-273b4a6b51bd','Col':5,'Row':17,'ColDynamic':5,'RowDynamic':14,'Format':'numberic','Value':' ','TargetCode':''}</v>
      </c>
    </row>
    <row r="654" spans="1:1" x14ac:dyDescent="0.2">
      <c r="A654" t="str">
        <f>CONCATENATE("{'SheetId':'b728798b-1c5c-4ec0-b355-f3d79005d0c1'",",","'UId':'587f5fda-3582-4a1b-8335-c170eec3719f'",",'Col':",COLUMN(BCTaiSan_DTGTNN!F17),",'Row':",ROW(BCTaiSan_DTGTNN!F17),",","'ColDynamic':",COLUMN(BCTaiSan_DTGTNN!F14),",","'RowDynamic':",ROW(BCTaiSan_DTGTNN!F14),",","'Format':'numberic'",",'Value':'",SUBSTITUTE(BCTaiSan_DTGTNN!F17,"'","\'"),"','TargetCode':''}")</f>
        <v>{'SheetId':'b728798b-1c5c-4ec0-b355-f3d79005d0c1','UId':'587f5fda-3582-4a1b-8335-c170eec3719f','Col':6,'Row':17,'ColDynamic':6,'RowDynamic':14,'Format':'numberic','Value':' ','TargetCode':''}</v>
      </c>
    </row>
    <row r="655" spans="1:1" x14ac:dyDescent="0.2">
      <c r="A655" t="str">
        <f>CONCATENATE("{'SheetId':'b728798b-1c5c-4ec0-b355-f3d79005d0c1'",",","'UId':'9c3f4261-b70c-43e8-815e-6ac091d995d9'",",'Col':",COLUMN(BCTaiSan_DTGTNN!G17),",'Row':",ROW(BCTaiSan_DTGTNN!G17),",","'ColDynamic':",COLUMN(BCTaiSan_DTGTNN!G14),",","'RowDynamic':",ROW(BCTaiSan_DTGTNN!G14),",","'Format':'numberic'",",'Value':'",SUBSTITUTE(BCTaiSan_DTGTNN!G17,"'","\'"),"','TargetCode':''}")</f>
        <v>{'SheetId':'b728798b-1c5c-4ec0-b355-f3d79005d0c1','UId':'9c3f4261-b70c-43e8-815e-6ac091d995d9','Col':7,'Row':17,'ColDynamic':7,'RowDynamic':14,'Format':'numberic','Value':' ','TargetCode':''}</v>
      </c>
    </row>
    <row r="656" spans="1:1" x14ac:dyDescent="0.2">
      <c r="A656" t="str">
        <f>CONCATENATE("{'SheetId':'b728798b-1c5c-4ec0-b355-f3d79005d0c1'",",","'UId':'f5b8061d-1f55-4a96-9a61-d09e90f6bd02'",",'Col':",COLUMN(BCTaiSan_DTGTNN!A19),",'Row':",ROW(BCTaiSan_DTGTNN!A19),",","'ColDynamic':",COLUMN(BCTaiSan_DTGTNN!A15),",","'RowDynamic':",ROW(BCTaiSan_DTGTNN!A15),",","'Format':'string'",",'Value':'",SUBSTITUTE(BCTaiSan_DTGTNN!A19,"'","\'"),"','TargetCode':''}")</f>
        <v>{'SheetId':'b728798b-1c5c-4ec0-b355-f3d79005d0c1','UId':'f5b8061d-1f55-4a96-9a61-d09e90f6bd02','Col':1,'Row':19,'ColDynamic':1,'RowDynamic':15,'Format':'string','Value':'I.8','TargetCode':''}</v>
      </c>
    </row>
    <row r="657" spans="1:1" x14ac:dyDescent="0.2">
      <c r="A657" t="str">
        <f>CONCATENATE("{'SheetId':'b728798b-1c5c-4ec0-b355-f3d79005d0c1'",",","'UId':'fac867af-bbca-433f-a7da-83e8fffa8262'",",'Col':",COLUMN(BCTaiSan_DTGTNN!B19),",'Row':",ROW(BCTaiSan_DTGTNN!B19),",","'ColDynamic':",COLUMN(BCTaiSan_DTGTNN!B15),",","'RowDynamic':",ROW(BCTaiSan_DTGTNN!B15),",","'Format':'string'",",'Value':'",SUBSTITUTE(BCTaiSan_DTGTNN!B19,"'","\'"),"','TargetCode':''}")</f>
        <v>{'SheetId':'b728798b-1c5c-4ec0-b355-f3d79005d0c1','UId':'fac867af-bbca-433f-a7da-83e8fffa8262','Col':2,'Row':19,'ColDynamic':2,'RowDynamic':15,'Format':'string','Value':'Tổng tài sản','TargetCode':''}</v>
      </c>
    </row>
    <row r="658" spans="1:1" x14ac:dyDescent="0.2">
      <c r="A658" t="str">
        <f>CONCATENATE("{'SheetId':'b728798b-1c5c-4ec0-b355-f3d79005d0c1'",",","'UId':'1089f714-45ce-4ff3-914b-733b677c635c'",",'Col':",COLUMN(BCTaiSan_DTGTNN!C19),",'Row':",ROW(BCTaiSan_DTGTNN!C19),",","'ColDynamic':",COLUMN(BCTaiSan_DTGTNN!C15),",","'RowDynamic':",ROW(BCTaiSan_DTGTNN!C15),",","'Format':'numberic'",",'Value':'",SUBSTITUTE(BCTaiSan_DTGTNN!C19,"'","\'"),"','TargetCode':''}")</f>
        <v>{'SheetId':'b728798b-1c5c-4ec0-b355-f3d79005d0c1','UId':'1089f714-45ce-4ff3-914b-733b677c635c','Col':3,'Row':19,'ColDynamic':3,'RowDynamic':15,'Format':'numberic','Value':' ','TargetCode':''}</v>
      </c>
    </row>
    <row r="659" spans="1:1" x14ac:dyDescent="0.2">
      <c r="A659" t="str">
        <f>CONCATENATE("{'SheetId':'b728798b-1c5c-4ec0-b355-f3d79005d0c1'",",","'UId':'271b5948-c6a5-4359-b173-75342b306478'",",'Col':",COLUMN(BCTaiSan_DTGTNN!D19),",'Row':",ROW(BCTaiSan_DTGTNN!D19),",","'ColDynamic':",COLUMN(BCTaiSan_DTGTNN!D15),",","'RowDynamic':",ROW(BCTaiSan_DTGTNN!D15),",","'Format':'numberic'",",'Value':'",SUBSTITUTE(BCTaiSan_DTGTNN!D19,"'","\'"),"','TargetCode':''}")</f>
        <v>{'SheetId':'b728798b-1c5c-4ec0-b355-f3d79005d0c1','UId':'271b5948-c6a5-4359-b173-75342b306478','Col':4,'Row':19,'ColDynamic':4,'RowDynamic':15,'Format':'numberic','Value':' ','TargetCode':''}</v>
      </c>
    </row>
    <row r="660" spans="1:1" x14ac:dyDescent="0.2">
      <c r="A660" t="str">
        <f>CONCATENATE("{'SheetId':'b728798b-1c5c-4ec0-b355-f3d79005d0c1'",",","'UId':'2b8feb2a-eca2-4a51-897b-d4009bdbadf3'",",'Col':",COLUMN(BCTaiSan_DTGTNN!E19),",'Row':",ROW(BCTaiSan_DTGTNN!E19),",","'ColDynamic':",COLUMN(BCTaiSan_DTGTNN!E15),",","'RowDynamic':",ROW(BCTaiSan_DTGTNN!E15),",","'Format':'numberic'",",'Value':'",SUBSTITUTE(BCTaiSan_DTGTNN!E19,"'","\'"),"','TargetCode':''}")</f>
        <v>{'SheetId':'b728798b-1c5c-4ec0-b355-f3d79005d0c1','UId':'2b8feb2a-eca2-4a51-897b-d4009bdbadf3','Col':5,'Row':19,'ColDynamic':5,'RowDynamic':15,'Format':'numberic','Value':' ','TargetCode':''}</v>
      </c>
    </row>
    <row r="661" spans="1:1" x14ac:dyDescent="0.2">
      <c r="A661" t="str">
        <f>CONCATENATE("{'SheetId':'b728798b-1c5c-4ec0-b355-f3d79005d0c1'",",","'UId':'73cebdf7-ef0d-4442-b79d-7d6d495641bf'",",'Col':",COLUMN(BCTaiSan_DTGTNN!F19),",'Row':",ROW(BCTaiSan_DTGTNN!F19),",","'ColDynamic':",COLUMN(BCTaiSan_DTGTNN!F15),",","'RowDynamic':",ROW(BCTaiSan_DTGTNN!F15),",","'Format':'numberic'",",'Value':'",SUBSTITUTE(BCTaiSan_DTGTNN!F19,"'","\'"),"','TargetCode':''}")</f>
        <v>{'SheetId':'b728798b-1c5c-4ec0-b355-f3d79005d0c1','UId':'73cebdf7-ef0d-4442-b79d-7d6d495641bf','Col':6,'Row':19,'ColDynamic':6,'RowDynamic':15,'Format':'numberic','Value':' ','TargetCode':''}</v>
      </c>
    </row>
    <row r="662" spans="1:1" x14ac:dyDescent="0.2">
      <c r="A662" t="str">
        <f>CONCATENATE("{'SheetId':'b728798b-1c5c-4ec0-b355-f3d79005d0c1'",",","'UId':'061599e3-06bb-4c64-821e-f1c42cfdfb40'",",'Col':",COLUMN(BCTaiSan_DTGTNN!G19),",'Row':",ROW(BCTaiSan_DTGTNN!G19),",","'ColDynamic':",COLUMN(BCTaiSan_DTGTNN!G15),",","'RowDynamic':",ROW(BCTaiSan_DTGTNN!G15),",","'Format':'numberic'",",'Value':'",SUBSTITUTE(BCTaiSan_DTGTNN!G19,"'","\'"),"','TargetCode':''}")</f>
        <v>{'SheetId':'b728798b-1c5c-4ec0-b355-f3d79005d0c1','UId':'061599e3-06bb-4c64-821e-f1c42cfdfb40','Col':7,'Row':19,'ColDynamic':7,'RowDynamic':15,'Format':'numberic','Value':' ','TargetCode':''}</v>
      </c>
    </row>
    <row r="663" spans="1:1" x14ac:dyDescent="0.2">
      <c r="A663" t="str">
        <f>CONCATENATE("{'SheetId':'b728798b-1c5c-4ec0-b355-f3d79005d0c1'",",","'UId':'61fb1026-f7b2-4653-81df-84500c361777'",",'Col':",COLUMN(BCTaiSan_DTGTNN!C20),",'Row':",ROW(BCTaiSan_DTGTNN!C20),",","'Format':'numberic'",",'Value':'",SUBSTITUTE(BCTaiSan_DTGTNN!C20,"'","\'"),"','TargetCode':''}")</f>
        <v>{'SheetId':'b728798b-1c5c-4ec0-b355-f3d79005d0c1','UId':'61fb1026-f7b2-4653-81df-84500c361777','Col':3,'Row':20,'Format':'numberic','Value':' ','TargetCode':''}</v>
      </c>
    </row>
    <row r="664" spans="1:1" x14ac:dyDescent="0.2">
      <c r="A664" t="str">
        <f>CONCATENATE("{'SheetId':'b728798b-1c5c-4ec0-b355-f3d79005d0c1'",",","'UId':'2753e7e9-803e-47c7-8b02-330014793fab'",",'Col':",COLUMN(BCTaiSan_DTGTNN!D20),",'Row':",ROW(BCTaiSan_DTGTNN!D20),",","'Format':'numberic'",",'Value':'",SUBSTITUTE(BCTaiSan_DTGTNN!D20,"'","\'"),"','TargetCode':''}")</f>
        <v>{'SheetId':'b728798b-1c5c-4ec0-b355-f3d79005d0c1','UId':'2753e7e9-803e-47c7-8b02-330014793fab','Col':4,'Row':20,'Format':'numberic','Value':' ','TargetCode':''}</v>
      </c>
    </row>
    <row r="665" spans="1:1" x14ac:dyDescent="0.2">
      <c r="A665" t="str">
        <f>CONCATENATE("{'SheetId':'b728798b-1c5c-4ec0-b355-f3d79005d0c1'",",","'UId':'f29437cf-e8ea-4f9f-9298-231cc47a6e58'",",'Col':",COLUMN(BCTaiSan_DTGTNN!E20),",'Row':",ROW(BCTaiSan_DTGTNN!E20),",","'Format':'numberic'",",'Value':'",SUBSTITUTE(BCTaiSan_DTGTNN!E20,"'","\'"),"','TargetCode':''}")</f>
        <v>{'SheetId':'b728798b-1c5c-4ec0-b355-f3d79005d0c1','UId':'f29437cf-e8ea-4f9f-9298-231cc47a6e58','Col':5,'Row':20,'Format':'numberic','Value':' ','TargetCode':''}</v>
      </c>
    </row>
    <row r="666" spans="1:1" x14ac:dyDescent="0.2">
      <c r="A666" t="str">
        <f>CONCATENATE("{'SheetId':'b728798b-1c5c-4ec0-b355-f3d79005d0c1'",",","'UId':'02a66c6e-b179-4bde-9f96-9bc35b9ffd6d'",",'Col':",COLUMN(BCTaiSan_DTGTNN!F20),",'Row':",ROW(BCTaiSan_DTGTNN!F20),",","'Format':'numberic'",",'Value':'",SUBSTITUTE(BCTaiSan_DTGTNN!F20,"'","\'"),"','TargetCode':''}")</f>
        <v>{'SheetId':'b728798b-1c5c-4ec0-b355-f3d79005d0c1','UId':'02a66c6e-b179-4bde-9f96-9bc35b9ffd6d','Col':6,'Row':20,'Format':'numberic','Value':' ','TargetCode':''}</v>
      </c>
    </row>
    <row r="667" spans="1:1" x14ac:dyDescent="0.2">
      <c r="A667" t="str">
        <f>CONCATENATE("{'SheetId':'b728798b-1c5c-4ec0-b355-f3d79005d0c1'",",","'UId':'6f57f889-bbb9-4c9c-97ed-7668458cfede'",",'Col':",COLUMN(BCTaiSan_DTGTNN!G20),",'Row':",ROW(BCTaiSan_DTGTNN!G20),",","'Format':'numberic'",",'Value':'",SUBSTITUTE(BCTaiSan_DTGTNN!G20,"'","\'"),"','TargetCode':''}")</f>
        <v>{'SheetId':'b728798b-1c5c-4ec0-b355-f3d79005d0c1','UId':'6f57f889-bbb9-4c9c-97ed-7668458cfede','Col':7,'Row':20,'Format':'numberic','Value':' ','TargetCode':''}</v>
      </c>
    </row>
    <row r="668" spans="1:1" x14ac:dyDescent="0.2">
      <c r="A668" t="str">
        <f>CONCATENATE("{'SheetId':'b728798b-1c5c-4ec0-b355-f3d79005d0c1'",",","'UId':'a4b3dbca-d7d6-4460-b09b-a89130ca1180'",",'Col':",COLUMN(BCTaiSan_DTGTNN!C21),",'Row':",ROW(BCTaiSan_DTGTNN!C21),",","'Format':'numberic'",",'Value':'",SUBSTITUTE(BCTaiSan_DTGTNN!C21,"'","\'"),"','TargetCode':''}")</f>
        <v>{'SheetId':'b728798b-1c5c-4ec0-b355-f3d79005d0c1','UId':'a4b3dbca-d7d6-4460-b09b-a89130ca1180','Col':3,'Row':21,'Format':'numberic','Value':' ','TargetCode':''}</v>
      </c>
    </row>
    <row r="669" spans="1:1" x14ac:dyDescent="0.2">
      <c r="A669" t="str">
        <f>CONCATENATE("{'SheetId':'b728798b-1c5c-4ec0-b355-f3d79005d0c1'",",","'UId':'12cc407c-b682-41e9-a796-3fc2dcdf4961'",",'Col':",COLUMN(BCTaiSan_DTGTNN!D21),",'Row':",ROW(BCTaiSan_DTGTNN!D21),",","'Format':'numberic'",",'Value':'",SUBSTITUTE(BCTaiSan_DTGTNN!D21,"'","\'"),"','TargetCode':''}")</f>
        <v>{'SheetId':'b728798b-1c5c-4ec0-b355-f3d79005d0c1','UId':'12cc407c-b682-41e9-a796-3fc2dcdf4961','Col':4,'Row':21,'Format':'numberic','Value':' ','TargetCode':''}</v>
      </c>
    </row>
    <row r="670" spans="1:1" x14ac:dyDescent="0.2">
      <c r="A670" t="str">
        <f>CONCATENATE("{'SheetId':'b728798b-1c5c-4ec0-b355-f3d79005d0c1'",",","'UId':'fca8f23b-6f56-46ee-9138-7d2179fc4358'",",'Col':",COLUMN(BCTaiSan_DTGTNN!E21),",'Row':",ROW(BCTaiSan_DTGTNN!E21),",","'Format':'numberic'",",'Value':'",SUBSTITUTE(BCTaiSan_DTGTNN!E21,"'","\'"),"','TargetCode':''}")</f>
        <v>{'SheetId':'b728798b-1c5c-4ec0-b355-f3d79005d0c1','UId':'fca8f23b-6f56-46ee-9138-7d2179fc4358','Col':5,'Row':21,'Format':'numberic','Value':' ','TargetCode':''}</v>
      </c>
    </row>
    <row r="671" spans="1:1" x14ac:dyDescent="0.2">
      <c r="A671" t="str">
        <f>CONCATENATE("{'SheetId':'b728798b-1c5c-4ec0-b355-f3d79005d0c1'",",","'UId':'704b1e73-6112-47fc-a72c-542bdc6b7c50'",",'Col':",COLUMN(BCTaiSan_DTGTNN!F21),",'Row':",ROW(BCTaiSan_DTGTNN!F21),",","'Format':'numberic'",",'Value':'",SUBSTITUTE(BCTaiSan_DTGTNN!F21,"'","\'"),"','TargetCode':''}")</f>
        <v>{'SheetId':'b728798b-1c5c-4ec0-b355-f3d79005d0c1','UId':'704b1e73-6112-47fc-a72c-542bdc6b7c50','Col':6,'Row':21,'Format':'numberic','Value':' ','TargetCode':''}</v>
      </c>
    </row>
    <row r="672" spans="1:1" x14ac:dyDescent="0.2">
      <c r="A672" t="str">
        <f>CONCATENATE("{'SheetId':'b728798b-1c5c-4ec0-b355-f3d79005d0c1'",",","'UId':'bcfb5921-d71f-4bca-a522-97dcce265953'",",'Col':",COLUMN(BCTaiSan_DTGTNN!G21),",'Row':",ROW(BCTaiSan_DTGTNN!G21),",","'Format':'numberic'",",'Value':'",SUBSTITUTE(BCTaiSan_DTGTNN!G21,"'","\'"),"','TargetCode':''}")</f>
        <v>{'SheetId':'b728798b-1c5c-4ec0-b355-f3d79005d0c1','UId':'bcfb5921-d71f-4bca-a522-97dcce265953','Col':7,'Row':21,'Format':'numberic','Value':' ','TargetCode':''}</v>
      </c>
    </row>
    <row r="673" spans="1:1" x14ac:dyDescent="0.2">
      <c r="A673" t="str">
        <f>CONCATENATE("{'SheetId':'b728798b-1c5c-4ec0-b355-f3d79005d0c1'",",","'UId':'e0854a50-0c47-4bcb-b207-780df01d49e6'",",'Col':",COLUMN(BCTaiSan_DTGTNN!A23),",'Row':",ROW(BCTaiSan_DTGTNN!A23),",","'ColDynamic':",COLUMN(BCTaiSan_DTGTNN!A18),",","'RowDynamic':",ROW(BCTaiSan_DTGTNN!A18),",","'Format':'string'",",'Value':'",SUBSTITUTE(BCTaiSan_DTGTNN!A23,"'","\'"),"','TargetCode':''}")</f>
        <v>{'SheetId':'b728798b-1c5c-4ec0-b355-f3d79005d0c1','UId':'e0854a50-0c47-4bcb-b207-780df01d49e6','Col':1,'Row':23,'ColDynamic':1,'RowDynamic':18,'Format':'string','Value':'II.2','TargetCode':''}</v>
      </c>
    </row>
    <row r="674" spans="1:1" x14ac:dyDescent="0.2">
      <c r="A674" t="str">
        <f>CONCATENATE("{'SheetId':'b728798b-1c5c-4ec0-b355-f3d79005d0c1'",",","'UId':'6148c7da-ae18-46ce-9d07-23b0158b3aeb'",",'Col':",COLUMN(BCTaiSan_DTGTNN!B23),",'Row':",ROW(BCTaiSan_DTGTNN!B23),",","'ColDynamic':",COLUMN(BCTaiSan_DTGTNN!B18),",","'RowDynamic':",ROW(BCTaiSan_DTGTNN!B18),",","'Format':'string'",",'Value':'",SUBSTITUTE(BCTaiSan_DTGTNN!B23,"'","\'"),"','TargetCode':''}")</f>
        <v>{'SheetId':'b728798b-1c5c-4ec0-b355-f3d79005d0c1','UId':'6148c7da-ae18-46ce-9d07-23b0158b3aeb','Col':2,'Row':23,'ColDynamic':2,'RowDynamic':18,'Format':'string','Value':'Các khoản phải trả khác','TargetCode':''}</v>
      </c>
    </row>
    <row r="675" spans="1:1" x14ac:dyDescent="0.2">
      <c r="A675" t="str">
        <f>CONCATENATE("{'SheetId':'b728798b-1c5c-4ec0-b355-f3d79005d0c1'",",","'UId':'1a7cf611-d45d-416e-a714-6c9f3f5d5eac'",",'Col':",COLUMN(BCTaiSan_DTGTNN!C23),",'Row':",ROW(BCTaiSan_DTGTNN!C23),",","'ColDynamic':",COLUMN(BCTaiSan_DTGTNN!C18),",","'RowDynamic':",ROW(BCTaiSan_DTGTNN!C18),",","'Format':'numberic'",",'Value':'",SUBSTITUTE(BCTaiSan_DTGTNN!C23,"'","\'"),"','TargetCode':''}")</f>
        <v>{'SheetId':'b728798b-1c5c-4ec0-b355-f3d79005d0c1','UId':'1a7cf611-d45d-416e-a714-6c9f3f5d5eac','Col':3,'Row':23,'ColDynamic':3,'RowDynamic':18,'Format':'numberic','Value':' ','TargetCode':''}</v>
      </c>
    </row>
    <row r="676" spans="1:1" x14ac:dyDescent="0.2">
      <c r="A676" t="str">
        <f>CONCATENATE("{'SheetId':'b728798b-1c5c-4ec0-b355-f3d79005d0c1'",",","'UId':'dac0d6cb-e313-4866-aa3a-69c926259593'",",'Col':",COLUMN(BCTaiSan_DTGTNN!D23),",'Row':",ROW(BCTaiSan_DTGTNN!D23),",","'ColDynamic':",COLUMN(BCTaiSan_DTGTNN!D18),",","'RowDynamic':",ROW(BCTaiSan_DTGTNN!D18),",","'Format':'numberic'",",'Value':'",SUBSTITUTE(BCTaiSan_DTGTNN!D23,"'","\'"),"','TargetCode':''}")</f>
        <v>{'SheetId':'b728798b-1c5c-4ec0-b355-f3d79005d0c1','UId':'dac0d6cb-e313-4866-aa3a-69c926259593','Col':4,'Row':23,'ColDynamic':4,'RowDynamic':18,'Format':'numberic','Value':' ','TargetCode':''}</v>
      </c>
    </row>
    <row r="677" spans="1:1" x14ac:dyDescent="0.2">
      <c r="A677" t="str">
        <f>CONCATENATE("{'SheetId':'b728798b-1c5c-4ec0-b355-f3d79005d0c1'",",","'UId':'9b251911-0627-4b74-b319-0ad4e21ac864'",",'Col':",COLUMN(BCTaiSan_DTGTNN!E23),",'Row':",ROW(BCTaiSan_DTGTNN!E23),",","'ColDynamic':",COLUMN(BCTaiSan_DTGTNN!E18),",","'RowDynamic':",ROW(BCTaiSan_DTGTNN!E18),",","'Format':'numberic'",",'Value':'",SUBSTITUTE(BCTaiSan_DTGTNN!E23,"'","\'"),"','TargetCode':''}")</f>
        <v>{'SheetId':'b728798b-1c5c-4ec0-b355-f3d79005d0c1','UId':'9b251911-0627-4b74-b319-0ad4e21ac864','Col':5,'Row':23,'ColDynamic':5,'RowDynamic':18,'Format':'numberic','Value':' ','TargetCode':''}</v>
      </c>
    </row>
    <row r="678" spans="1:1" x14ac:dyDescent="0.2">
      <c r="A678" t="str">
        <f>CONCATENATE("{'SheetId':'b728798b-1c5c-4ec0-b355-f3d79005d0c1'",",","'UId':'870fb90d-6fd9-4781-b9a8-b8abafab54f2'",",'Col':",COLUMN(BCTaiSan_DTGTNN!F23),",'Row':",ROW(BCTaiSan_DTGTNN!F23),",","'ColDynamic':",COLUMN(BCTaiSan_DTGTNN!F18),",","'RowDynamic':",ROW(BCTaiSan_DTGTNN!F18),",","'Format':'numberic'",",'Value':'",SUBSTITUTE(BCTaiSan_DTGTNN!F23,"'","\'"),"','TargetCode':''}")</f>
        <v>{'SheetId':'b728798b-1c5c-4ec0-b355-f3d79005d0c1','UId':'870fb90d-6fd9-4781-b9a8-b8abafab54f2','Col':6,'Row':23,'ColDynamic':6,'RowDynamic':18,'Format':'numberic','Value':' ','TargetCode':''}</v>
      </c>
    </row>
    <row r="679" spans="1:1" x14ac:dyDescent="0.2">
      <c r="A679" t="str">
        <f>CONCATENATE("{'SheetId':'b728798b-1c5c-4ec0-b355-f3d79005d0c1'",",","'UId':'cfb73ed1-535b-4130-82b3-f6efc76092ee'",",'Col':",COLUMN(BCTaiSan_DTGTNN!G23),",'Row':",ROW(BCTaiSan_DTGTNN!G23),",","'ColDynamic':",COLUMN(BCTaiSan_DTGTNN!G18),",","'RowDynamic':",ROW(BCTaiSan_DTGTNN!G18),",","'Format':'numberic'",",'Value':'",SUBSTITUTE(BCTaiSan_DTGTNN!G23,"'","\'"),"','TargetCode':''}")</f>
        <v>{'SheetId':'b728798b-1c5c-4ec0-b355-f3d79005d0c1','UId':'cfb73ed1-535b-4130-82b3-f6efc76092ee','Col':7,'Row':23,'ColDynamic':7,'RowDynamic':18,'Format':'numberic','Value':' ','TargetCode':''}</v>
      </c>
    </row>
    <row r="680" spans="1:1" x14ac:dyDescent="0.2">
      <c r="A680" t="str">
        <f>CONCATENATE("{'SheetId':'b728798b-1c5c-4ec0-b355-f3d79005d0c1'",",","'UId':'392ebe87-b229-4e72-8c62-4fcc0b50344c'",",'Col':",COLUMN(BCTaiSan_DTGTNN!A25),",'Row':",ROW(BCTaiSan_DTGTNN!A25),",","'ColDynamic':",COLUMN(BCTaiSan_DTGTNN!A22),",","'RowDynamic':",ROW(BCTaiSan_DTGTNN!A22),",","'Format':'string'",",'Value':'",SUBSTITUTE(BCTaiSan_DTGTNN!A25,"'","\'"),"','TargetCode':''}")</f>
        <v>{'SheetId':'b728798b-1c5c-4ec0-b355-f3d79005d0c1','UId':'392ebe87-b229-4e72-8c62-4fcc0b50344c','Col':1,'Row':25,'ColDynamic':1,'RowDynamic':22,'Format':'string','Value':'II.3','TargetCode':''}</v>
      </c>
    </row>
    <row r="681" spans="1:1" x14ac:dyDescent="0.2">
      <c r="A681" t="str">
        <f>CONCATENATE("{'SheetId':'b728798b-1c5c-4ec0-b355-f3d79005d0c1'",",","'UId':'c2c1e49a-b154-48e2-b1c9-0528016ae975'",",'Col':",COLUMN(BCTaiSan_DTGTNN!B25),",'Row':",ROW(BCTaiSan_DTGTNN!B25),",","'ColDynamic':",COLUMN(BCTaiSan_DTGTNN!B22),",","'RowDynamic':",ROW(BCTaiSan_DTGTNN!B22),",","'Format':'string'",",'Value':'",SUBSTITUTE(BCTaiSan_DTGTNN!B25,"'","\'"),"','TargetCode':''}")</f>
        <v>{'SheetId':'b728798b-1c5c-4ec0-b355-f3d79005d0c1','UId':'c2c1e49a-b154-48e2-b1c9-0528016ae975','Col':2,'Row':25,'ColDynamic':2,'RowDynamic':22,'Format':'string','Value':'Tổng nợ','TargetCode':''}</v>
      </c>
    </row>
    <row r="682" spans="1:1" x14ac:dyDescent="0.2">
      <c r="A682" t="str">
        <f>CONCATENATE("{'SheetId':'b728798b-1c5c-4ec0-b355-f3d79005d0c1'",",","'UId':'f81f8273-3e2e-4abd-a1ff-f40b1de64fdf'",",'Col':",COLUMN(BCTaiSan_DTGTNN!C25),",'Row':",ROW(BCTaiSan_DTGTNN!C25),",","'ColDynamic':",COLUMN(BCTaiSan_DTGTNN!C22),",","'RowDynamic':",ROW(BCTaiSan_DTGTNN!C22),",","'Format':'numberic'",",'Value':'",SUBSTITUTE(BCTaiSan_DTGTNN!C25,"'","\'"),"','TargetCode':''}")</f>
        <v>{'SheetId':'b728798b-1c5c-4ec0-b355-f3d79005d0c1','UId':'f81f8273-3e2e-4abd-a1ff-f40b1de64fdf','Col':3,'Row':25,'ColDynamic':3,'RowDynamic':22,'Format':'numberic','Value':' ','TargetCode':''}</v>
      </c>
    </row>
    <row r="683" spans="1:1" x14ac:dyDescent="0.2">
      <c r="A683" t="str">
        <f>CONCATENATE("{'SheetId':'b728798b-1c5c-4ec0-b355-f3d79005d0c1'",",","'UId':'86f2b00c-ddfa-46db-8269-5fa872d327fd'",",'Col':",COLUMN(BCTaiSan_DTGTNN!D25),",'Row':",ROW(BCTaiSan_DTGTNN!D25),",","'ColDynamic':",COLUMN(BCTaiSan_DTGTNN!D22),",","'RowDynamic':",ROW(BCTaiSan_DTGTNN!D22),",","'Format':'numberic'",",'Value':'",SUBSTITUTE(BCTaiSan_DTGTNN!D25,"'","\'"),"','TargetCode':''}")</f>
        <v>{'SheetId':'b728798b-1c5c-4ec0-b355-f3d79005d0c1','UId':'86f2b00c-ddfa-46db-8269-5fa872d327fd','Col':4,'Row':25,'ColDynamic':4,'RowDynamic':22,'Format':'numberic','Value':' ','TargetCode':''}</v>
      </c>
    </row>
    <row r="684" spans="1:1" x14ac:dyDescent="0.2">
      <c r="A684" t="str">
        <f>CONCATENATE("{'SheetId':'b728798b-1c5c-4ec0-b355-f3d79005d0c1'",",","'UId':'b17e78de-97eb-41ff-80eb-156da9fb8d14'",",'Col':",COLUMN(BCTaiSan_DTGTNN!E25),",'Row':",ROW(BCTaiSan_DTGTNN!E25),",","'ColDynamic':",COLUMN(BCTaiSan_DTGTNN!E22),",","'RowDynamic':",ROW(BCTaiSan_DTGTNN!E22),",","'Format':'numberic'",",'Value':'",SUBSTITUTE(BCTaiSan_DTGTNN!E25,"'","\'"),"','TargetCode':''}")</f>
        <v>{'SheetId':'b728798b-1c5c-4ec0-b355-f3d79005d0c1','UId':'b17e78de-97eb-41ff-80eb-156da9fb8d14','Col':5,'Row':25,'ColDynamic':5,'RowDynamic':22,'Format':'numberic','Value':' ','TargetCode':''}</v>
      </c>
    </row>
    <row r="685" spans="1:1" x14ac:dyDescent="0.2">
      <c r="A685" t="str">
        <f>CONCATENATE("{'SheetId':'b728798b-1c5c-4ec0-b355-f3d79005d0c1'",",","'UId':'3f250186-bd04-467d-af31-be74c0f635f4'",",'Col':",COLUMN(BCTaiSan_DTGTNN!F25),",'Row':",ROW(BCTaiSan_DTGTNN!F25),",","'ColDynamic':",COLUMN(BCTaiSan_DTGTNN!F22),",","'RowDynamic':",ROW(BCTaiSan_DTGTNN!F22),",","'Format':'numberic'",",'Value':'",SUBSTITUTE(BCTaiSan_DTGTNN!F25,"'","\'"),"','TargetCode':''}")</f>
        <v>{'SheetId':'b728798b-1c5c-4ec0-b355-f3d79005d0c1','UId':'3f250186-bd04-467d-af31-be74c0f635f4','Col':6,'Row':25,'ColDynamic':6,'RowDynamic':22,'Format':'numberic','Value':' ','TargetCode':''}</v>
      </c>
    </row>
    <row r="686" spans="1:1" x14ac:dyDescent="0.2">
      <c r="A686" t="str">
        <f>CONCATENATE("{'SheetId':'b728798b-1c5c-4ec0-b355-f3d79005d0c1'",",","'UId':'ee5b24c1-1cb1-4cd4-bfab-b7c23297d6b7'",",'Col':",COLUMN(BCTaiSan_DTGTNN!G25),",'Row':",ROW(BCTaiSan_DTGTNN!G25),",","'ColDynamic':",COLUMN(BCTaiSan_DTGTNN!G22),",","'RowDynamic':",ROW(BCTaiSan_DTGTNN!G22),",","'Format':'numberic'",",'Value':'",SUBSTITUTE(BCTaiSan_DTGTNN!G25,"'","\'"),"','TargetCode':''}")</f>
        <v>{'SheetId':'b728798b-1c5c-4ec0-b355-f3d79005d0c1','UId':'ee5b24c1-1cb1-4cd4-bfab-b7c23297d6b7','Col':7,'Row':25,'ColDynamic':7,'RowDynamic':22,'Format':'numberic','Value':' ','TargetCode':''}</v>
      </c>
    </row>
    <row r="687" spans="1:1" x14ac:dyDescent="0.2">
      <c r="A687" t="str">
        <f>CONCATENATE("{'SheetId':'22416b87-3d40-4a2d-a2da-7fa388b73f41'",",","'UId':'d2d90916-3fc9-496b-9a40-7be5380090aa'",",'Col':",COLUMN(KetQuaHoatDong_DTGTNN!C3),",'Row':",ROW(KetQuaHoatDong_DTGTNN!C3),",","'Format':'numberic'",",'Value':'",SUBSTITUTE(KetQuaHoatDong_DTGTNN!C3,"'","\'"),"','TargetCode':''}")</f>
        <v>{'SheetId':'22416b87-3d40-4a2d-a2da-7fa388b73f41','UId':'d2d90916-3fc9-496b-9a40-7be5380090aa','Col':3,'Row':3,'Format':'numberic','Value':' ','TargetCode':''}</v>
      </c>
    </row>
    <row r="688" spans="1:1" x14ac:dyDescent="0.2">
      <c r="A688" t="str">
        <f>CONCATENATE("{'SheetId':'22416b87-3d40-4a2d-a2da-7fa388b73f41'",",","'UId':'2cb54eb5-5e7c-4c6f-a094-cd9819c78ab7'",",'Col':",COLUMN(KetQuaHoatDong_DTGTNN!D3),",'Row':",ROW(KetQuaHoatDong_DTGTNN!D3),",","'Format':'numberic'",",'Value':'",SUBSTITUTE(KetQuaHoatDong_DTGTNN!D3,"'","\'"),"','TargetCode':''}")</f>
        <v>{'SheetId':'22416b87-3d40-4a2d-a2da-7fa388b73f41','UId':'2cb54eb5-5e7c-4c6f-a094-cd9819c78ab7','Col':4,'Row':3,'Format':'numberic','Value':' ','TargetCode':''}</v>
      </c>
    </row>
    <row r="689" spans="1:1" x14ac:dyDescent="0.2">
      <c r="A689" t="str">
        <f>CONCATENATE("{'SheetId':'22416b87-3d40-4a2d-a2da-7fa388b73f41'",",","'UId':'f1344798-a9a8-4a80-a754-c076600cb2aa'",",'Col':",COLUMN(KetQuaHoatDong_DTGTNN!E3),",'Row':",ROW(KetQuaHoatDong_DTGTNN!E3),",","'Format':'numberic'",",'Value':'",SUBSTITUTE(KetQuaHoatDong_DTGTNN!E3,"'","\'"),"','TargetCode':''}")</f>
        <v>{'SheetId':'22416b87-3d40-4a2d-a2da-7fa388b73f41','UId':'f1344798-a9a8-4a80-a754-c076600cb2aa','Col':5,'Row':3,'Format':'numberic','Value':' ','TargetCode':''}</v>
      </c>
    </row>
    <row r="690" spans="1:1" x14ac:dyDescent="0.2">
      <c r="A690" t="str">
        <f>CONCATENATE("{'SheetId':'22416b87-3d40-4a2d-a2da-7fa388b73f41'",",","'UId':'f6ac60a3-c248-4fc5-9cf5-82a002662903'",",'Col':",COLUMN(KetQuaHoatDong_DTGTNN!F3),",'Row':",ROW(KetQuaHoatDong_DTGTNN!F3),",","'Format':'numberic'",",'Value':'",SUBSTITUTE(KetQuaHoatDong_DTGTNN!F3,"'","\'"),"','TargetCode':''}")</f>
        <v>{'SheetId':'22416b87-3d40-4a2d-a2da-7fa388b73f41','UId':'f6ac60a3-c248-4fc5-9cf5-82a002662903','Col':6,'Row':3,'Format':'numberic','Value':' ','TargetCode':''}</v>
      </c>
    </row>
    <row r="691" spans="1:1" x14ac:dyDescent="0.2">
      <c r="A691" t="str">
        <f>CONCATENATE("{'SheetId':'22416b87-3d40-4a2d-a2da-7fa388b73f41'",",","'UId':'c0219252-3b83-4ea7-b976-f7b020070a6c'",",'Col':",COLUMN(KetQuaHoatDong_DTGTNN!G3),",'Row':",ROW(KetQuaHoatDong_DTGTNN!G3),",","'Format':'numberic'",",'Value':'",SUBSTITUTE(KetQuaHoatDong_DTGTNN!G3,"'","\'"),"','TargetCode':''}")</f>
        <v>{'SheetId':'22416b87-3d40-4a2d-a2da-7fa388b73f41','UId':'c0219252-3b83-4ea7-b976-f7b020070a6c','Col':7,'Row':3,'Format':'numberic','Value':' ','TargetCode':''}</v>
      </c>
    </row>
    <row r="692" spans="1:1" x14ac:dyDescent="0.2">
      <c r="A692" t="str">
        <f>CONCATENATE("{'SheetId':'22416b87-3d40-4a2d-a2da-7fa388b73f41'",",","'UId':'240bdbc7-2b76-4c6a-90ea-f57600f763d4'",",'Col':",COLUMN(KetQuaHoatDong_DTGTNN!C4),",'Row':",ROW(KetQuaHoatDong_DTGTNN!C4),",","'Format':'numberic'",",'Value':'",SUBSTITUTE(KetQuaHoatDong_DTGTNN!C4,"'","\'"),"','TargetCode':''}")</f>
        <v>{'SheetId':'22416b87-3d40-4a2d-a2da-7fa388b73f41','UId':'240bdbc7-2b76-4c6a-90ea-f57600f763d4','Col':3,'Row':4,'Format':'numberic','Value':' ','TargetCode':''}</v>
      </c>
    </row>
    <row r="693" spans="1:1" x14ac:dyDescent="0.2">
      <c r="A693" t="str">
        <f>CONCATENATE("{'SheetId':'22416b87-3d40-4a2d-a2da-7fa388b73f41'",",","'UId':'3962b4f0-0e19-429c-8d03-e21484137b84'",",'Col':",COLUMN(KetQuaHoatDong_DTGTNN!D4),",'Row':",ROW(KetQuaHoatDong_DTGTNN!D4),",","'Format':'numberic'",",'Value':'",SUBSTITUTE(KetQuaHoatDong_DTGTNN!D4,"'","\'"),"','TargetCode':''}")</f>
        <v>{'SheetId':'22416b87-3d40-4a2d-a2da-7fa388b73f41','UId':'3962b4f0-0e19-429c-8d03-e21484137b84','Col':4,'Row':4,'Format':'numberic','Value':' ','TargetCode':''}</v>
      </c>
    </row>
    <row r="694" spans="1:1" x14ac:dyDescent="0.2">
      <c r="A694" t="str">
        <f>CONCATENATE("{'SheetId':'22416b87-3d40-4a2d-a2da-7fa388b73f41'",",","'UId':'116bc5f4-14a9-4948-a1ef-1e99ab6d47bd'",",'Col':",COLUMN(KetQuaHoatDong_DTGTNN!E4),",'Row':",ROW(KetQuaHoatDong_DTGTNN!E4),",","'Format':'numberic'",",'Value':'",SUBSTITUTE(KetQuaHoatDong_DTGTNN!E4,"'","\'"),"','TargetCode':''}")</f>
        <v>{'SheetId':'22416b87-3d40-4a2d-a2da-7fa388b73f41','UId':'116bc5f4-14a9-4948-a1ef-1e99ab6d47bd','Col':5,'Row':4,'Format':'numberic','Value':' ','TargetCode':''}</v>
      </c>
    </row>
    <row r="695" spans="1:1" x14ac:dyDescent="0.2">
      <c r="A695" t="str">
        <f>CONCATENATE("{'SheetId':'22416b87-3d40-4a2d-a2da-7fa388b73f41'",",","'UId':'a1110286-6d74-4d12-b0db-6f2b2da21c31'",",'Col':",COLUMN(KetQuaHoatDong_DTGTNN!F4),",'Row':",ROW(KetQuaHoatDong_DTGTNN!F4),",","'Format':'numberic'",",'Value':'",SUBSTITUTE(KetQuaHoatDong_DTGTNN!F4,"'","\'"),"','TargetCode':''}")</f>
        <v>{'SheetId':'22416b87-3d40-4a2d-a2da-7fa388b73f41','UId':'a1110286-6d74-4d12-b0db-6f2b2da21c31','Col':6,'Row':4,'Format':'numberic','Value':' ','TargetCode':''}</v>
      </c>
    </row>
    <row r="696" spans="1:1" x14ac:dyDescent="0.2">
      <c r="A696" t="str">
        <f>CONCATENATE("{'SheetId':'22416b87-3d40-4a2d-a2da-7fa388b73f41'",",","'UId':'6643d443-eb8c-42f0-a27f-aa930c1da543'",",'Col':",COLUMN(KetQuaHoatDong_DTGTNN!G4),",'Row':",ROW(KetQuaHoatDong_DTGTNN!G4),",","'Format':'numberic'",",'Value':'",SUBSTITUTE(KetQuaHoatDong_DTGTNN!G4,"'","\'"),"','TargetCode':''}")</f>
        <v>{'SheetId':'22416b87-3d40-4a2d-a2da-7fa388b73f41','UId':'6643d443-eb8c-42f0-a27f-aa930c1da543','Col':7,'Row':4,'Format':'numberic','Value':' ','TargetCode':''}</v>
      </c>
    </row>
    <row r="697" spans="1:1" x14ac:dyDescent="0.2">
      <c r="A697" t="str">
        <f>CONCATENATE("{'SheetId':'22416b87-3d40-4a2d-a2da-7fa388b73f41'",",","'UId':'0bbe911f-a615-4cbd-99e8-44e9cb8e632b'",",'Col':",COLUMN(KetQuaHoatDong_DTGTNN!C5),",'Row':",ROW(KetQuaHoatDong_DTGTNN!C5),",","'Format':'numberic'",",'Value':'",SUBSTITUTE(KetQuaHoatDong_DTGTNN!C5,"'","\'"),"','TargetCode':''}")</f>
        <v>{'SheetId':'22416b87-3d40-4a2d-a2da-7fa388b73f41','UId':'0bbe911f-a615-4cbd-99e8-44e9cb8e632b','Col':3,'Row':5,'Format':'numberic','Value':' ','TargetCode':''}</v>
      </c>
    </row>
    <row r="698" spans="1:1" x14ac:dyDescent="0.2">
      <c r="A698" t="str">
        <f>CONCATENATE("{'SheetId':'22416b87-3d40-4a2d-a2da-7fa388b73f41'",",","'UId':'7bb00419-23ea-4384-9f0d-2973a7c77d5d'",",'Col':",COLUMN(KetQuaHoatDong_DTGTNN!D5),",'Row':",ROW(KetQuaHoatDong_DTGTNN!D5),",","'Format':'numberic'",",'Value':'",SUBSTITUTE(KetQuaHoatDong_DTGTNN!D5,"'","\'"),"','TargetCode':''}")</f>
        <v>{'SheetId':'22416b87-3d40-4a2d-a2da-7fa388b73f41','UId':'7bb00419-23ea-4384-9f0d-2973a7c77d5d','Col':4,'Row':5,'Format':'numberic','Value':' ','TargetCode':''}</v>
      </c>
    </row>
    <row r="699" spans="1:1" x14ac:dyDescent="0.2">
      <c r="A699" t="str">
        <f>CONCATENATE("{'SheetId':'22416b87-3d40-4a2d-a2da-7fa388b73f41'",",","'UId':'44ca6dea-305d-4b16-9e3b-8e4eb0bb6e1c'",",'Col':",COLUMN(KetQuaHoatDong_DTGTNN!E5),",'Row':",ROW(KetQuaHoatDong_DTGTNN!E5),",","'Format':'numberic'",",'Value':'",SUBSTITUTE(KetQuaHoatDong_DTGTNN!E5,"'","\'"),"','TargetCode':''}")</f>
        <v>{'SheetId':'22416b87-3d40-4a2d-a2da-7fa388b73f41','UId':'44ca6dea-305d-4b16-9e3b-8e4eb0bb6e1c','Col':5,'Row':5,'Format':'numberic','Value':' ','TargetCode':''}</v>
      </c>
    </row>
    <row r="700" spans="1:1" x14ac:dyDescent="0.2">
      <c r="A700" t="str">
        <f>CONCATENATE("{'SheetId':'22416b87-3d40-4a2d-a2da-7fa388b73f41'",",","'UId':'f16c2d8d-f25d-4e3c-beb4-3999cf8d53f1'",",'Col':",COLUMN(KetQuaHoatDong_DTGTNN!F5),",'Row':",ROW(KetQuaHoatDong_DTGTNN!F5),",","'Format':'numberic'",",'Value':'",SUBSTITUTE(KetQuaHoatDong_DTGTNN!F5,"'","\'"),"','TargetCode':''}")</f>
        <v>{'SheetId':'22416b87-3d40-4a2d-a2da-7fa388b73f41','UId':'f16c2d8d-f25d-4e3c-beb4-3999cf8d53f1','Col':6,'Row':5,'Format':'numberic','Value':' ','TargetCode':''}</v>
      </c>
    </row>
    <row r="701" spans="1:1" x14ac:dyDescent="0.2">
      <c r="A701" t="str">
        <f>CONCATENATE("{'SheetId':'22416b87-3d40-4a2d-a2da-7fa388b73f41'",",","'UId':'b699784a-b8b8-4d51-bc01-aca7fa0c4245'",",'Col':",COLUMN(KetQuaHoatDong_DTGTNN!G5),",'Row':",ROW(KetQuaHoatDong_DTGTNN!G5),",","'Format':'numberic'",",'Value':'",SUBSTITUTE(KetQuaHoatDong_DTGTNN!G5,"'","\'"),"','TargetCode':''}")</f>
        <v>{'SheetId':'22416b87-3d40-4a2d-a2da-7fa388b73f41','UId':'b699784a-b8b8-4d51-bc01-aca7fa0c4245','Col':7,'Row':5,'Format':'numberic','Value':' ','TargetCode':''}</v>
      </c>
    </row>
    <row r="702" spans="1:1" x14ac:dyDescent="0.2">
      <c r="A702" t="str">
        <f>CONCATENATE("{'SheetId':'22416b87-3d40-4a2d-a2da-7fa388b73f41'",",","'UId':'28648daa-bd1f-4294-a142-3b1a3d7614c3'",",'Col':",COLUMN(KetQuaHoatDong_DTGTNN!C6),",'Row':",ROW(KetQuaHoatDong_DTGTNN!C6),",","'Format':'numberic'",",'Value':'",SUBSTITUTE(KetQuaHoatDong_DTGTNN!C6,"'","\'"),"','TargetCode':''}")</f>
        <v>{'SheetId':'22416b87-3d40-4a2d-a2da-7fa388b73f41','UId':'28648daa-bd1f-4294-a142-3b1a3d7614c3','Col':3,'Row':6,'Format':'numberic','Value':' ','TargetCode':''}</v>
      </c>
    </row>
    <row r="703" spans="1:1" x14ac:dyDescent="0.2">
      <c r="A703" t="str">
        <f>CONCATENATE("{'SheetId':'22416b87-3d40-4a2d-a2da-7fa388b73f41'",",","'UId':'39cd3cef-5afb-48c0-8091-c49e51a6d685'",",'Col':",COLUMN(KetQuaHoatDong_DTGTNN!D6),",'Row':",ROW(KetQuaHoatDong_DTGTNN!D6),",","'Format':'numberic'",",'Value':'",SUBSTITUTE(KetQuaHoatDong_DTGTNN!D6,"'","\'"),"','TargetCode':''}")</f>
        <v>{'SheetId':'22416b87-3d40-4a2d-a2da-7fa388b73f41','UId':'39cd3cef-5afb-48c0-8091-c49e51a6d685','Col':4,'Row':6,'Format':'numberic','Value':' ','TargetCode':''}</v>
      </c>
    </row>
    <row r="704" spans="1:1" x14ac:dyDescent="0.2">
      <c r="A704" t="str">
        <f>CONCATENATE("{'SheetId':'22416b87-3d40-4a2d-a2da-7fa388b73f41'",",","'UId':'6d073070-4810-4a68-baeb-515d4339fcad'",",'Col':",COLUMN(KetQuaHoatDong_DTGTNN!E6),",'Row':",ROW(KetQuaHoatDong_DTGTNN!E6),",","'Format':'numberic'",",'Value':'",SUBSTITUTE(KetQuaHoatDong_DTGTNN!E6,"'","\'"),"','TargetCode':''}")</f>
        <v>{'SheetId':'22416b87-3d40-4a2d-a2da-7fa388b73f41','UId':'6d073070-4810-4a68-baeb-515d4339fcad','Col':5,'Row':6,'Format':'numberic','Value':' ','TargetCode':''}</v>
      </c>
    </row>
    <row r="705" spans="1:1" x14ac:dyDescent="0.2">
      <c r="A705" t="str">
        <f>CONCATENATE("{'SheetId':'22416b87-3d40-4a2d-a2da-7fa388b73f41'",",","'UId':'62c24e3f-138a-4c4b-8b4e-13bdb712f8a8'",",'Col':",COLUMN(KetQuaHoatDong_DTGTNN!F6),",'Row':",ROW(KetQuaHoatDong_DTGTNN!F6),",","'Format':'numberic'",",'Value':'",SUBSTITUTE(KetQuaHoatDong_DTGTNN!F6,"'","\'"),"','TargetCode':''}")</f>
        <v>{'SheetId':'22416b87-3d40-4a2d-a2da-7fa388b73f41','UId':'62c24e3f-138a-4c4b-8b4e-13bdb712f8a8','Col':6,'Row':6,'Format':'numberic','Value':' ','TargetCode':''}</v>
      </c>
    </row>
    <row r="706" spans="1:1" x14ac:dyDescent="0.2">
      <c r="A706" t="str">
        <f>CONCATENATE("{'SheetId':'22416b87-3d40-4a2d-a2da-7fa388b73f41'",",","'UId':'8ee9d2cc-11c5-4d58-947a-e3355ea09a72'",",'Col':",COLUMN(KetQuaHoatDong_DTGTNN!G6),",'Row':",ROW(KetQuaHoatDong_DTGTNN!G6),",","'Format':'numberic'",",'Value':'",SUBSTITUTE(KetQuaHoatDong_DTGTNN!G6,"'","\'"),"','TargetCode':''}")</f>
        <v>{'SheetId':'22416b87-3d40-4a2d-a2da-7fa388b73f41','UId':'8ee9d2cc-11c5-4d58-947a-e3355ea09a72','Col':7,'Row':6,'Format':'numberic','Value':' ','TargetCode':''}</v>
      </c>
    </row>
    <row r="707" spans="1:1" x14ac:dyDescent="0.2">
      <c r="A707" t="str">
        <f>CONCATENATE("{'SheetId':'22416b87-3d40-4a2d-a2da-7fa388b73f41'",",","'UId':'975a2e98-cbfd-4dfe-b69c-9378714169ff'",",'Col':",COLUMN(KetQuaHoatDong_DTGTNN!A8),",'Row':",ROW(KetQuaHoatDong_DTGTNN!A8),",","'ColDynamic':",COLUMN(KetQuaHoatDong_DTGTNN!A7),",","'RowDynamic':",ROW(KetQuaHoatDong_DTGTNN!A7),",","'Format':'string'",",'Value':'",SUBSTITUTE(KetQuaHoatDong_DTGTNN!A8,"'","\'"),"','TargetCode':''}")</f>
        <v>{'SheetId':'22416b87-3d40-4a2d-a2da-7fa388b73f41','UId':'975a2e98-cbfd-4dfe-b69c-9378714169ff','Col':1,'Row':8,'ColDynamic':1,'RowDynamic':7,'Format':'string','Value':'II','TargetCode':''}</v>
      </c>
    </row>
    <row r="708" spans="1:1" x14ac:dyDescent="0.2">
      <c r="A708" t="str">
        <f>CONCATENATE("{'SheetId':'22416b87-3d40-4a2d-a2da-7fa388b73f41'",",","'UId':'2bb917e9-6787-432a-9397-24508745faf8'",",'Col':",COLUMN(KetQuaHoatDong_DTGTNN!B8),",'Row':",ROW(KetQuaHoatDong_DTGTNN!B8),",","'ColDynamic':",COLUMN(KetQuaHoatDong_DTGTNN!B7),",","'RowDynamic':",ROW(KetQuaHoatDong_DTGTNN!B7),",","'Format':'string'",",'Value':'",SUBSTITUTE(KetQuaHoatDong_DTGTNN!B8,"'","\'"),"','TargetCode':''}")</f>
        <v>{'SheetId':'22416b87-3d40-4a2d-a2da-7fa388b73f41','UId':'2bb917e9-6787-432a-9397-24508745faf8','Col':2,'Row':8,'ColDynamic':2,'RowDynamic':7,'Format':'string','Value':'Chi phí đầu tư gián tiếp ra nước ngoài','TargetCode':''}</v>
      </c>
    </row>
    <row r="709" spans="1:1" x14ac:dyDescent="0.2">
      <c r="A709" t="str">
        <f>CONCATENATE("{'SheetId':'22416b87-3d40-4a2d-a2da-7fa388b73f41'",",","'UId':'3557d645-f50f-4de9-a9f7-96e99782a3b5'",",'Col':",COLUMN(KetQuaHoatDong_DTGTNN!C8),",'Row':",ROW(KetQuaHoatDong_DTGTNN!C8),",","'ColDynamic':",COLUMN(KetQuaHoatDong_DTGTNN!C7),",","'RowDynamic':",ROW(KetQuaHoatDong_DTGTNN!C7),",","'Format':'numberic'",",'Value':'",SUBSTITUTE(KetQuaHoatDong_DTGTNN!C8,"'","\'"),"','TargetCode':''}")</f>
        <v>{'SheetId':'22416b87-3d40-4a2d-a2da-7fa388b73f41','UId':'3557d645-f50f-4de9-a9f7-96e99782a3b5','Col':3,'Row':8,'ColDynamic':3,'RowDynamic':7,'Format':'numberic','Value':' ','TargetCode':''}</v>
      </c>
    </row>
    <row r="710" spans="1:1" x14ac:dyDescent="0.2">
      <c r="A710" t="str">
        <f>CONCATENATE("{'SheetId':'22416b87-3d40-4a2d-a2da-7fa388b73f41'",",","'UId':'ccf56cbb-ca79-4e64-a952-3082d066920d'",",'Col':",COLUMN(KetQuaHoatDong_DTGTNN!D8),",'Row':",ROW(KetQuaHoatDong_DTGTNN!D8),",","'ColDynamic':",COLUMN(KetQuaHoatDong_DTGTNN!D7),",","'RowDynamic':",ROW(KetQuaHoatDong_DTGTNN!D7),",","'Format':'numberic'",",'Value':'",SUBSTITUTE(KetQuaHoatDong_DTGTNN!D8,"'","\'"),"','TargetCode':''}")</f>
        <v>{'SheetId':'22416b87-3d40-4a2d-a2da-7fa388b73f41','UId':'ccf56cbb-ca79-4e64-a952-3082d066920d','Col':4,'Row':8,'ColDynamic':4,'RowDynamic':7,'Format':'numberic','Value':' ','TargetCode':''}</v>
      </c>
    </row>
    <row r="711" spans="1:1" x14ac:dyDescent="0.2">
      <c r="A711" t="str">
        <f>CONCATENATE("{'SheetId':'22416b87-3d40-4a2d-a2da-7fa388b73f41'",",","'UId':'94488cd0-7fc9-4aa9-8145-7334255077af'",",'Col':",COLUMN(KetQuaHoatDong_DTGTNN!E8),",'Row':",ROW(KetQuaHoatDong_DTGTNN!E8),",","'ColDynamic':",COLUMN(KetQuaHoatDong_DTGTNN!E7),",","'RowDynamic':",ROW(KetQuaHoatDong_DTGTNN!E7),",","'Format':'numberic'",",'Value':'",SUBSTITUTE(KetQuaHoatDong_DTGTNN!E8,"'","\'"),"','TargetCode':''}")</f>
        <v>{'SheetId':'22416b87-3d40-4a2d-a2da-7fa388b73f41','UId':'94488cd0-7fc9-4aa9-8145-7334255077af','Col':5,'Row':8,'ColDynamic':5,'RowDynamic':7,'Format':'numberic','Value':' ','TargetCode':''}</v>
      </c>
    </row>
    <row r="712" spans="1:1" x14ac:dyDescent="0.2">
      <c r="A712" t="str">
        <f>CONCATENATE("{'SheetId':'22416b87-3d40-4a2d-a2da-7fa388b73f41'",",","'UId':'fe7d31cd-0d6f-4cc9-b0e9-97596fd8022b'",",'Col':",COLUMN(KetQuaHoatDong_DTGTNN!F8),",'Row':",ROW(KetQuaHoatDong_DTGTNN!F8),",","'ColDynamic':",COLUMN(KetQuaHoatDong_DTGTNN!F7),",","'RowDynamic':",ROW(KetQuaHoatDong_DTGTNN!F7),",","'Format':'numberic'",",'Value':'",SUBSTITUTE(KetQuaHoatDong_DTGTNN!F8,"'","\'"),"','TargetCode':''}")</f>
        <v>{'SheetId':'22416b87-3d40-4a2d-a2da-7fa388b73f41','UId':'fe7d31cd-0d6f-4cc9-b0e9-97596fd8022b','Col':6,'Row':8,'ColDynamic':6,'RowDynamic':7,'Format':'numberic','Value':' ','TargetCode':''}</v>
      </c>
    </row>
    <row r="713" spans="1:1" x14ac:dyDescent="0.2">
      <c r="A713" t="str">
        <f>CONCATENATE("{'SheetId':'22416b87-3d40-4a2d-a2da-7fa388b73f41'",",","'UId':'de540773-e9fb-4556-99f1-07069fa69e19'",",'Col':",COLUMN(KetQuaHoatDong_DTGTNN!G8),",'Row':",ROW(KetQuaHoatDong_DTGTNN!G8),",","'ColDynamic':",COLUMN(KetQuaHoatDong_DTGTNN!G7),",","'RowDynamic':",ROW(KetQuaHoatDong_DTGTNN!G7),",","'Format':'numberic'",",'Value':'",SUBSTITUTE(KetQuaHoatDong_DTGTNN!G8,"'","\'"),"','TargetCode':''}")</f>
        <v>{'SheetId':'22416b87-3d40-4a2d-a2da-7fa388b73f41','UId':'de540773-e9fb-4556-99f1-07069fa69e19','Col':7,'Row':8,'ColDynamic':7,'RowDynamic':7,'Format':'numberic','Value':' ','TargetCode':''}</v>
      </c>
    </row>
    <row r="714" spans="1:1" x14ac:dyDescent="0.2">
      <c r="A714" t="str">
        <f>CONCATENATE("{'SheetId':'22416b87-3d40-4a2d-a2da-7fa388b73f41'",",","'UId':'0bf73817-4601-4866-8059-3db053f73de3'",",'Col':",COLUMN(KetQuaHoatDong_DTGTNN!C9),",'Row':",ROW(KetQuaHoatDong_DTGTNN!C9),",","'Format':'numberic'",",'Value':'",SUBSTITUTE(KetQuaHoatDong_DTGTNN!C9,"'","\'"),"','TargetCode':''}")</f>
        <v>{'SheetId':'22416b87-3d40-4a2d-a2da-7fa388b73f41','UId':'0bf73817-4601-4866-8059-3db053f73de3','Col':3,'Row':9,'Format':'numberic','Value':' ','TargetCode':''}</v>
      </c>
    </row>
    <row r="715" spans="1:1" x14ac:dyDescent="0.2">
      <c r="A715" t="str">
        <f>CONCATENATE("{'SheetId':'22416b87-3d40-4a2d-a2da-7fa388b73f41'",",","'UId':'0e339938-7ba0-42c1-ad4d-317f04567cb4'",",'Col':",COLUMN(KetQuaHoatDong_DTGTNN!D9),",'Row':",ROW(KetQuaHoatDong_DTGTNN!D9),",","'Format':'numberic'",",'Value':'",SUBSTITUTE(KetQuaHoatDong_DTGTNN!D9,"'","\'"),"','TargetCode':''}")</f>
        <v>{'SheetId':'22416b87-3d40-4a2d-a2da-7fa388b73f41','UId':'0e339938-7ba0-42c1-ad4d-317f04567cb4','Col':4,'Row':9,'Format':'numberic','Value':' ','TargetCode':''}</v>
      </c>
    </row>
    <row r="716" spans="1:1" x14ac:dyDescent="0.2">
      <c r="A716" t="str">
        <f>CONCATENATE("{'SheetId':'22416b87-3d40-4a2d-a2da-7fa388b73f41'",",","'UId':'bcf80c00-dc51-4499-b49b-0ffeb1dfbecd'",",'Col':",COLUMN(KetQuaHoatDong_DTGTNN!E9),",'Row':",ROW(KetQuaHoatDong_DTGTNN!E9),",","'Format':'numberic'",",'Value':'",SUBSTITUTE(KetQuaHoatDong_DTGTNN!E9,"'","\'"),"','TargetCode':''}")</f>
        <v>{'SheetId':'22416b87-3d40-4a2d-a2da-7fa388b73f41','UId':'bcf80c00-dc51-4499-b49b-0ffeb1dfbecd','Col':5,'Row':9,'Format':'numberic','Value':' ','TargetCode':''}</v>
      </c>
    </row>
    <row r="717" spans="1:1" x14ac:dyDescent="0.2">
      <c r="A717" t="str">
        <f>CONCATENATE("{'SheetId':'22416b87-3d40-4a2d-a2da-7fa388b73f41'",",","'UId':'db41599c-dd9e-4ffa-9876-0a1f91b205a4'",",'Col':",COLUMN(KetQuaHoatDong_DTGTNN!F9),",'Row':",ROW(KetQuaHoatDong_DTGTNN!F9),",","'Format':'numberic'",",'Value':'",SUBSTITUTE(KetQuaHoatDong_DTGTNN!F9,"'","\'"),"','TargetCode':''}")</f>
        <v>{'SheetId':'22416b87-3d40-4a2d-a2da-7fa388b73f41','UId':'db41599c-dd9e-4ffa-9876-0a1f91b205a4','Col':6,'Row':9,'Format':'numberic','Value':' ','TargetCode':''}</v>
      </c>
    </row>
    <row r="718" spans="1:1" x14ac:dyDescent="0.2">
      <c r="A718" t="str">
        <f>CONCATENATE("{'SheetId':'22416b87-3d40-4a2d-a2da-7fa388b73f41'",",","'UId':'ded7c60b-06df-46b9-8dcd-5b28675d2267'",",'Col':",COLUMN(KetQuaHoatDong_DTGTNN!G9),",'Row':",ROW(KetQuaHoatDong_DTGTNN!G9),",","'Format':'numberic'",",'Value':'",SUBSTITUTE(KetQuaHoatDong_DTGTNN!G9,"'","\'"),"','TargetCode':''}")</f>
        <v>{'SheetId':'22416b87-3d40-4a2d-a2da-7fa388b73f41','UId':'ded7c60b-06df-46b9-8dcd-5b28675d2267','Col':7,'Row':9,'Format':'numberic','Value':' ','TargetCode':''}</v>
      </c>
    </row>
    <row r="719" spans="1:1" x14ac:dyDescent="0.2">
      <c r="A719" t="str">
        <f>CONCATENATE("{'SheetId':'22416b87-3d40-4a2d-a2da-7fa388b73f41'",",","'UId':'d2278317-3c0d-4361-8800-64bf6f93baa2'",",'Col':",COLUMN(KetQuaHoatDong_DTGTNN!A11),",'Row':",ROW(KetQuaHoatDong_DTGTNN!A11),",","'ColDynamic':",COLUMN(KetQuaHoatDong_DTGTNN!A10),",","'RowDynamic':",ROW(KetQuaHoatDong_DTGTNN!A10),",","'Format':'string'",",'Value':'",SUBSTITUTE(KetQuaHoatDong_DTGTNN!A11,"'","\'"),"','TargetCode':''}")</f>
        <v>{'SheetId':'22416b87-3d40-4a2d-a2da-7fa388b73f41','UId':'d2278317-3c0d-4361-8800-64bf6f93baa2','Col':1,'Row':11,'ColDynamic':1,'RowDynamic':10,'Format':'string','Value':' ','TargetCode':''}</v>
      </c>
    </row>
    <row r="720" spans="1:1" x14ac:dyDescent="0.2">
      <c r="A720" t="str">
        <f>CONCATENATE("{'SheetId':'22416b87-3d40-4a2d-a2da-7fa388b73f41'",",","'UId':'b38cf38b-30ea-46bd-8ba7-dc361860af23'",",'Col':",COLUMN(KetQuaHoatDong_DTGTNN!B11),",'Row':",ROW(KetQuaHoatDong_DTGTNN!B11),",","'ColDynamic':",COLUMN(KetQuaHoatDong_DTGTNN!B10),",","'RowDynamic':",ROW(KetQuaHoatDong_DTGTNN!B10),",","'Format':'string'",",'Value':'",SUBSTITUTE(KetQuaHoatDong_DTGTNN!B11,"'","\'"),"','TargetCode':''}")</f>
        <v>{'SheetId':'22416b87-3d40-4a2d-a2da-7fa388b73f41','UId':'b38cf38b-30ea-46bd-8ba7-dc361860af23','Col':2,'Row':11,'ColDynamic':2,'RowDynamic':10,'Format':'string','Value':'Các loại phí khác (kê chi tiết)','TargetCode':''}</v>
      </c>
    </row>
    <row r="721" spans="1:1" x14ac:dyDescent="0.2">
      <c r="A721" t="str">
        <f>CONCATENATE("{'SheetId':'22416b87-3d40-4a2d-a2da-7fa388b73f41'",",","'UId':'55a398c6-3d67-4d9b-8426-adeb1c3a16a0'",",'Col':",COLUMN(KetQuaHoatDong_DTGTNN!C11),",'Row':",ROW(KetQuaHoatDong_DTGTNN!C11),",","'ColDynamic':",COLUMN(KetQuaHoatDong_DTGTNN!C10),",","'RowDynamic':",ROW(KetQuaHoatDong_DTGTNN!C10),",","'Format':'numberic'",",'Value':'",SUBSTITUTE(KetQuaHoatDong_DTGTNN!C11,"'","\'"),"','TargetCode':''}")</f>
        <v>{'SheetId':'22416b87-3d40-4a2d-a2da-7fa388b73f41','UId':'55a398c6-3d67-4d9b-8426-adeb1c3a16a0','Col':3,'Row':11,'ColDynamic':3,'RowDynamic':10,'Format':'numberic','Value':' ','TargetCode':''}</v>
      </c>
    </row>
    <row r="722" spans="1:1" x14ac:dyDescent="0.2">
      <c r="A722" t="str">
        <f>CONCATENATE("{'SheetId':'22416b87-3d40-4a2d-a2da-7fa388b73f41'",",","'UId':'885b08d1-aed5-4159-a8d2-211a7ea3ea72'",",'Col':",COLUMN(KetQuaHoatDong_DTGTNN!D11),",'Row':",ROW(KetQuaHoatDong_DTGTNN!D11),",","'ColDynamic':",COLUMN(KetQuaHoatDong_DTGTNN!D10),",","'RowDynamic':",ROW(KetQuaHoatDong_DTGTNN!D10),",","'Format':'numberic'",",'Value':'",SUBSTITUTE(KetQuaHoatDong_DTGTNN!D11,"'","\'"),"','TargetCode':''}")</f>
        <v>{'SheetId':'22416b87-3d40-4a2d-a2da-7fa388b73f41','UId':'885b08d1-aed5-4159-a8d2-211a7ea3ea72','Col':4,'Row':11,'ColDynamic':4,'RowDynamic':10,'Format':'numberic','Value':' ','TargetCode':''}</v>
      </c>
    </row>
    <row r="723" spans="1:1" x14ac:dyDescent="0.2">
      <c r="A723" t="str">
        <f>CONCATENATE("{'SheetId':'22416b87-3d40-4a2d-a2da-7fa388b73f41'",",","'UId':'fb0fae13-3f3c-44c9-864a-61bb512b06ec'",",'Col':",COLUMN(KetQuaHoatDong_DTGTNN!E11),",'Row':",ROW(KetQuaHoatDong_DTGTNN!E11),",","'ColDynamic':",COLUMN(KetQuaHoatDong_DTGTNN!E10),",","'RowDynamic':",ROW(KetQuaHoatDong_DTGTNN!E10),",","'Format':'numberic'",",'Value':'",SUBSTITUTE(KetQuaHoatDong_DTGTNN!E11,"'","\'"),"','TargetCode':''}")</f>
        <v>{'SheetId':'22416b87-3d40-4a2d-a2da-7fa388b73f41','UId':'fb0fae13-3f3c-44c9-864a-61bb512b06ec','Col':5,'Row':11,'ColDynamic':5,'RowDynamic':10,'Format':'numberic','Value':' ','TargetCode':''}</v>
      </c>
    </row>
    <row r="724" spans="1:1" x14ac:dyDescent="0.2">
      <c r="A724" t="str">
        <f>CONCATENATE("{'SheetId':'22416b87-3d40-4a2d-a2da-7fa388b73f41'",",","'UId':'3c4e5900-010c-407b-a5b9-127ace0e91da'",",'Col':",COLUMN(KetQuaHoatDong_DTGTNN!F11),",'Row':",ROW(KetQuaHoatDong_DTGTNN!F11),",","'ColDynamic':",COLUMN(KetQuaHoatDong_DTGTNN!F10),",","'RowDynamic':",ROW(KetQuaHoatDong_DTGTNN!F10),",","'Format':'numberic'",",'Value':'",SUBSTITUTE(KetQuaHoatDong_DTGTNN!F11,"'","\'"),"','TargetCode':''}")</f>
        <v>{'SheetId':'22416b87-3d40-4a2d-a2da-7fa388b73f41','UId':'3c4e5900-010c-407b-a5b9-127ace0e91da','Col':6,'Row':11,'ColDynamic':6,'RowDynamic':10,'Format':'numberic','Value':' ','TargetCode':''}</v>
      </c>
    </row>
    <row r="725" spans="1:1" x14ac:dyDescent="0.2">
      <c r="A725" t="str">
        <f>CONCATENATE("{'SheetId':'22416b87-3d40-4a2d-a2da-7fa388b73f41'",",","'UId':'2a2c5ba1-911b-4530-90a6-43bd7e010ba4'",",'Col':",COLUMN(KetQuaHoatDong_DTGTNN!G11),",'Row':",ROW(KetQuaHoatDong_DTGTNN!G11),",","'ColDynamic':",COLUMN(KetQuaHoatDong_DTGTNN!G10),",","'RowDynamic':",ROW(KetQuaHoatDong_DTGTNN!G10),",","'Format':'numberic'",",'Value':'",SUBSTITUTE(KetQuaHoatDong_DTGTNN!G11,"'","\'"),"','TargetCode':''}")</f>
        <v>{'SheetId':'22416b87-3d40-4a2d-a2da-7fa388b73f41','UId':'2a2c5ba1-911b-4530-90a6-43bd7e010ba4','Col':7,'Row':11,'ColDynamic':7,'RowDynamic':10,'Format':'numberic','Value':' ','TargetCode':''}</v>
      </c>
    </row>
    <row r="726" spans="1:1" x14ac:dyDescent="0.2">
      <c r="A726" t="str">
        <f>CONCATENATE("{'SheetId':'22416b87-3d40-4a2d-a2da-7fa388b73f41'",",","'UId':'614b79af-a1ef-4598-a9e6-b30730b660f2'",",'Col':",COLUMN(KetQuaHoatDong_DTGTNN!A13),",'Row':",ROW(KetQuaHoatDong_DTGTNN!A13),",","'ColDynamic':",COLUMN(KetQuaHoatDong_DTGTNN!A11),",","'RowDynamic':",ROW(KetQuaHoatDong_DTGTNN!A11),",","'Format':'string'",",'Value':'",SUBSTITUTE(KetQuaHoatDong_DTGTNN!A13,"'","\'"),"','TargetCode':''}")</f>
        <v>{'SheetId':'22416b87-3d40-4a2d-a2da-7fa388b73f41','UId':'614b79af-a1ef-4598-a9e6-b30730b660f2','Col':1,'Row':13,'ColDynamic':1,'RowDynamic':11,'Format':'string','Value':'III','TargetCode':''}</v>
      </c>
    </row>
    <row r="727" spans="1:1" x14ac:dyDescent="0.2">
      <c r="A727" t="str">
        <f>CONCATENATE("{'SheetId':'22416b87-3d40-4a2d-a2da-7fa388b73f41'",",","'UId':'84102e0a-274c-4daa-ae26-7e04f5772016'",",'Col':",COLUMN(KetQuaHoatDong_DTGTNN!B13),",'Row':",ROW(KetQuaHoatDong_DTGTNN!B13),",","'ColDynamic':",COLUMN(KetQuaHoatDong_DTGTNN!B11),",","'RowDynamic':",ROW(KetQuaHoatDong_DTGTNN!B11),",","'Format':'string'",",'Value':'",SUBSTITUTE(KetQuaHoatDong_DTGTNN!B13,"'","\'"),"','TargetCode':''}")</f>
        <v>{'SheetId':'22416b87-3d40-4a2d-a2da-7fa388b73f41','UId':'84102e0a-274c-4daa-ae26-7e04f5772016','Col':2,'Row':13,'ColDynamic':2,'RowDynamic':11,'Format':'string','Value':'Thu nhập ròng từ hoạt động đầu tư gián tiếp ra nước ngoài (I-II)','TargetCode':''}</v>
      </c>
    </row>
    <row r="728" spans="1:1" x14ac:dyDescent="0.2">
      <c r="A728" t="str">
        <f>CONCATENATE("{'SheetId':'22416b87-3d40-4a2d-a2da-7fa388b73f41'",",","'UId':'ab901c4e-bc8d-41cc-b8ba-fa00afc047e7'",",'Col':",COLUMN(KetQuaHoatDong_DTGTNN!C13),",'Row':",ROW(KetQuaHoatDong_DTGTNN!C13),",","'ColDynamic':",COLUMN(KetQuaHoatDong_DTGTNN!C11),",","'RowDynamic':",ROW(KetQuaHoatDong_DTGTNN!C11),",","'Format':'numberic'",",'Value':'",SUBSTITUTE(KetQuaHoatDong_DTGTNN!C13,"'","\'"),"','TargetCode':''}")</f>
        <v>{'SheetId':'22416b87-3d40-4a2d-a2da-7fa388b73f41','UId':'ab901c4e-bc8d-41cc-b8ba-fa00afc047e7','Col':3,'Row':13,'ColDynamic':3,'RowDynamic':11,'Format':'numberic','Value':' ','TargetCode':''}</v>
      </c>
    </row>
    <row r="729" spans="1:1" x14ac:dyDescent="0.2">
      <c r="A729" t="str">
        <f>CONCATENATE("{'SheetId':'22416b87-3d40-4a2d-a2da-7fa388b73f41'",",","'UId':'c3c55264-c51f-45dd-9124-ade22a67deaa'",",'Col':",COLUMN(KetQuaHoatDong_DTGTNN!D13),",'Row':",ROW(KetQuaHoatDong_DTGTNN!D13),",","'ColDynamic':",COLUMN(KetQuaHoatDong_DTGTNN!D11),",","'RowDynamic':",ROW(KetQuaHoatDong_DTGTNN!D11),",","'Format':'numberic'",",'Value':'",SUBSTITUTE(KetQuaHoatDong_DTGTNN!D13,"'","\'"),"','TargetCode':''}")</f>
        <v>{'SheetId':'22416b87-3d40-4a2d-a2da-7fa388b73f41','UId':'c3c55264-c51f-45dd-9124-ade22a67deaa','Col':4,'Row':13,'ColDynamic':4,'RowDynamic':11,'Format':'numberic','Value':' ','TargetCode':''}</v>
      </c>
    </row>
    <row r="730" spans="1:1" x14ac:dyDescent="0.2">
      <c r="A730" t="str">
        <f>CONCATENATE("{'SheetId':'22416b87-3d40-4a2d-a2da-7fa388b73f41'",",","'UId':'4ab7a02c-ae1b-484c-b730-c729e73c199b'",",'Col':",COLUMN(KetQuaHoatDong_DTGTNN!E13),",'Row':",ROW(KetQuaHoatDong_DTGTNN!E13),",","'ColDynamic':",COLUMN(KetQuaHoatDong_DTGTNN!E11),",","'RowDynamic':",ROW(KetQuaHoatDong_DTGTNN!E11),",","'Format':'numberic'",",'Value':'",SUBSTITUTE(KetQuaHoatDong_DTGTNN!E13,"'","\'"),"','TargetCode':''}")</f>
        <v>{'SheetId':'22416b87-3d40-4a2d-a2da-7fa388b73f41','UId':'4ab7a02c-ae1b-484c-b730-c729e73c199b','Col':5,'Row':13,'ColDynamic':5,'RowDynamic':11,'Format':'numberic','Value':' ','TargetCode':''}</v>
      </c>
    </row>
    <row r="731" spans="1:1" x14ac:dyDescent="0.2">
      <c r="A731" t="str">
        <f>CONCATENATE("{'SheetId':'22416b87-3d40-4a2d-a2da-7fa388b73f41'",",","'UId':'f70f5646-41f0-4711-ac7c-4dccaefde921'",",'Col':",COLUMN(KetQuaHoatDong_DTGTNN!F13),",'Row':",ROW(KetQuaHoatDong_DTGTNN!F13),",","'ColDynamic':",COLUMN(KetQuaHoatDong_DTGTNN!F11),",","'RowDynamic':",ROW(KetQuaHoatDong_DTGTNN!F11),",","'Format':'numberic'",",'Value':'",SUBSTITUTE(KetQuaHoatDong_DTGTNN!F13,"'","\'"),"','TargetCode':''}")</f>
        <v>{'SheetId':'22416b87-3d40-4a2d-a2da-7fa388b73f41','UId':'f70f5646-41f0-4711-ac7c-4dccaefde921','Col':6,'Row':13,'ColDynamic':6,'RowDynamic':11,'Format':'numberic','Value':' ','TargetCode':''}</v>
      </c>
    </row>
    <row r="732" spans="1:1" x14ac:dyDescent="0.2">
      <c r="A732" t="str">
        <f>CONCATENATE("{'SheetId':'22416b87-3d40-4a2d-a2da-7fa388b73f41'",",","'UId':'389904f9-cdd1-4691-a3e4-6d43f59f77a0'",",'Col':",COLUMN(KetQuaHoatDong_DTGTNN!G13),",'Row':",ROW(KetQuaHoatDong_DTGTNN!G13),",","'ColDynamic':",COLUMN(KetQuaHoatDong_DTGTNN!G11),",","'RowDynamic':",ROW(KetQuaHoatDong_DTGTNN!G11),",","'Format':'numberic'",",'Value':'",SUBSTITUTE(KetQuaHoatDong_DTGTNN!G13,"'","\'"),"','TargetCode':''}")</f>
        <v>{'SheetId':'22416b87-3d40-4a2d-a2da-7fa388b73f41','UId':'389904f9-cdd1-4691-a3e4-6d43f59f77a0','Col':7,'Row':13,'ColDynamic':7,'RowDynamic':11,'Format':'numberic','Value':' ','TargetCode':''}</v>
      </c>
    </row>
    <row r="733" spans="1:1" x14ac:dyDescent="0.2">
      <c r="A733" t="str">
        <f>CONCATENATE("{'SheetId':'22416b87-3d40-4a2d-a2da-7fa388b73f41'",",","'UId':'15171a0e-2096-443d-81ee-509be64c6aa4'",",'Col':",COLUMN(KetQuaHoatDong_DTGTNN!C14),",'Row':",ROW(KetQuaHoatDong_DTGTNN!C14),",","'Format':'numberic'",",'Value':'",SUBSTITUTE(KetQuaHoatDong_DTGTNN!C14,"'","\'"),"','TargetCode':''}")</f>
        <v>{'SheetId':'22416b87-3d40-4a2d-a2da-7fa388b73f41','UId':'15171a0e-2096-443d-81ee-509be64c6aa4','Col':3,'Row':14,'Format':'numberic','Value':' ','TargetCode':''}</v>
      </c>
    </row>
    <row r="734" spans="1:1" x14ac:dyDescent="0.2">
      <c r="A734" t="str">
        <f>CONCATENATE("{'SheetId':'22416b87-3d40-4a2d-a2da-7fa388b73f41'",",","'UId':'5c4ed27f-a69f-4d8a-bdc8-02c774133739'",",'Col':",COLUMN(KetQuaHoatDong_DTGTNN!D14),",'Row':",ROW(KetQuaHoatDong_DTGTNN!D14),",","'Format':'numberic'",",'Value':'",SUBSTITUTE(KetQuaHoatDong_DTGTNN!D14,"'","\'"),"','TargetCode':''}")</f>
        <v>{'SheetId':'22416b87-3d40-4a2d-a2da-7fa388b73f41','UId':'5c4ed27f-a69f-4d8a-bdc8-02c774133739','Col':4,'Row':14,'Format':'numberic','Value':' ','TargetCode':''}</v>
      </c>
    </row>
    <row r="735" spans="1:1" x14ac:dyDescent="0.2">
      <c r="A735" t="str">
        <f>CONCATENATE("{'SheetId':'22416b87-3d40-4a2d-a2da-7fa388b73f41'",",","'UId':'bc10ef74-3256-4568-a36c-f5ca4194fd69'",",'Col':",COLUMN(KetQuaHoatDong_DTGTNN!E14),",'Row':",ROW(KetQuaHoatDong_DTGTNN!E14),",","'Format':'numberic'",",'Value':'",SUBSTITUTE(KetQuaHoatDong_DTGTNN!E14,"'","\'"),"','TargetCode':''}")</f>
        <v>{'SheetId':'22416b87-3d40-4a2d-a2da-7fa388b73f41','UId':'bc10ef74-3256-4568-a36c-f5ca4194fd69','Col':5,'Row':14,'Format':'numberic','Value':' ','TargetCode':''}</v>
      </c>
    </row>
    <row r="736" spans="1:1" x14ac:dyDescent="0.2">
      <c r="A736" t="str">
        <f>CONCATENATE("{'SheetId':'22416b87-3d40-4a2d-a2da-7fa388b73f41'",",","'UId':'d55359cc-25a8-49cf-989e-84b4a0287b84'",",'Col':",COLUMN(KetQuaHoatDong_DTGTNN!F14),",'Row':",ROW(KetQuaHoatDong_DTGTNN!F14),",","'Format':'numberic'",",'Value':'",SUBSTITUTE(KetQuaHoatDong_DTGTNN!F14,"'","\'"),"','TargetCode':''}")</f>
        <v>{'SheetId':'22416b87-3d40-4a2d-a2da-7fa388b73f41','UId':'d55359cc-25a8-49cf-989e-84b4a0287b84','Col':6,'Row':14,'Format':'numberic','Value':' ','TargetCode':''}</v>
      </c>
    </row>
    <row r="737" spans="1:1" x14ac:dyDescent="0.2">
      <c r="A737" t="str">
        <f>CONCATENATE("{'SheetId':'22416b87-3d40-4a2d-a2da-7fa388b73f41'",",","'UId':'a130b2f6-a604-4dd3-8e04-e9329363c2fe'",",'Col':",COLUMN(KetQuaHoatDong_DTGTNN!G14),",'Row':",ROW(KetQuaHoatDong_DTGTNN!G14),",","'Format':'numberic'",",'Value':'",SUBSTITUTE(KetQuaHoatDong_DTGTNN!G14,"'","\'"),"','TargetCode':''}")</f>
        <v>{'SheetId':'22416b87-3d40-4a2d-a2da-7fa388b73f41','UId':'a130b2f6-a604-4dd3-8e04-e9329363c2fe','Col':7,'Row':14,'Format':'numberic','Value':' ','TargetCode':''}</v>
      </c>
    </row>
    <row r="738" spans="1:1" x14ac:dyDescent="0.2">
      <c r="A738" t="str">
        <f>CONCATENATE("{'SheetId':'22416b87-3d40-4a2d-a2da-7fa388b73f41'",",","'UId':'9eefd191-36fd-4d9d-8fca-c238f929eaa4'",",'Col':",COLUMN(KetQuaHoatDong_DTGTNN!C15),",'Row':",ROW(KetQuaHoatDong_DTGTNN!C15),",","'Format':'numberic'",",'Value':'",SUBSTITUTE(KetQuaHoatDong_DTGTNN!C15,"'","\'"),"','TargetCode':''}")</f>
        <v>{'SheetId':'22416b87-3d40-4a2d-a2da-7fa388b73f41','UId':'9eefd191-36fd-4d9d-8fca-c238f929eaa4','Col':3,'Row':15,'Format':'numberic','Value':' ','TargetCode':''}</v>
      </c>
    </row>
    <row r="739" spans="1:1" x14ac:dyDescent="0.2">
      <c r="A739" t="str">
        <f>CONCATENATE("{'SheetId':'22416b87-3d40-4a2d-a2da-7fa388b73f41'",",","'UId':'76c00b5c-61ad-4304-9c61-bfbdc3423bff'",",'Col':",COLUMN(KetQuaHoatDong_DTGTNN!D15),",'Row':",ROW(KetQuaHoatDong_DTGTNN!D15),",","'Format':'numberic'",",'Value':'",SUBSTITUTE(KetQuaHoatDong_DTGTNN!D15,"'","\'"),"','TargetCode':''}")</f>
        <v>{'SheetId':'22416b87-3d40-4a2d-a2da-7fa388b73f41','UId':'76c00b5c-61ad-4304-9c61-bfbdc3423bff','Col':4,'Row':15,'Format':'numberic','Value':' ','TargetCode':''}</v>
      </c>
    </row>
    <row r="740" spans="1:1" x14ac:dyDescent="0.2">
      <c r="A740" t="str">
        <f>CONCATENATE("{'SheetId':'22416b87-3d40-4a2d-a2da-7fa388b73f41'",",","'UId':'26c9a09f-b001-433e-83e0-bc41e0b774ab'",",'Col':",COLUMN(KetQuaHoatDong_DTGTNN!E15),",'Row':",ROW(KetQuaHoatDong_DTGTNN!E15),",","'Format':'numberic'",",'Value':'",SUBSTITUTE(KetQuaHoatDong_DTGTNN!E15,"'","\'"),"','TargetCode':''}")</f>
        <v>{'SheetId':'22416b87-3d40-4a2d-a2da-7fa388b73f41','UId':'26c9a09f-b001-433e-83e0-bc41e0b774ab','Col':5,'Row':15,'Format':'numberic','Value':' ','TargetCode':''}</v>
      </c>
    </row>
    <row r="741" spans="1:1" x14ac:dyDescent="0.2">
      <c r="A741" t="str">
        <f>CONCATENATE("{'SheetId':'22416b87-3d40-4a2d-a2da-7fa388b73f41'",",","'UId':'fcff8cb0-a9e9-43b3-bb8b-0522a1606eeb'",",'Col':",COLUMN(KetQuaHoatDong_DTGTNN!F15),",'Row':",ROW(KetQuaHoatDong_DTGTNN!F15),",","'Format':'numberic'",",'Value':'",SUBSTITUTE(KetQuaHoatDong_DTGTNN!F15,"'","\'"),"','TargetCode':''}")</f>
        <v>{'SheetId':'22416b87-3d40-4a2d-a2da-7fa388b73f41','UId':'fcff8cb0-a9e9-43b3-bb8b-0522a1606eeb','Col':6,'Row':15,'Format':'numberic','Value':' ','TargetCode':''}</v>
      </c>
    </row>
    <row r="742" spans="1:1" x14ac:dyDescent="0.2">
      <c r="A742" t="str">
        <f>CONCATENATE("{'SheetId':'22416b87-3d40-4a2d-a2da-7fa388b73f41'",",","'UId':'88b03ae6-8ace-4a92-8441-7b8f86bd3594'",",'Col':",COLUMN(KetQuaHoatDong_DTGTNN!G15),",'Row':",ROW(KetQuaHoatDong_DTGTNN!G15),",","'Format':'numberic'",",'Value':'",SUBSTITUTE(KetQuaHoatDong_DTGTNN!G15,"'","\'"),"','TargetCode':''}")</f>
        <v>{'SheetId':'22416b87-3d40-4a2d-a2da-7fa388b73f41','UId':'88b03ae6-8ace-4a92-8441-7b8f86bd3594','Col':7,'Row':15,'Format':'numberic','Value':' ','TargetCode':''}</v>
      </c>
    </row>
    <row r="743" spans="1:1" x14ac:dyDescent="0.2">
      <c r="A743" t="str">
        <f>CONCATENATE("{'SheetId':'22416b87-3d40-4a2d-a2da-7fa388b73f41'",",","'UId':'4908520e-838c-4f54-bad5-333f0bc05508'",",'Col':",COLUMN(KetQuaHoatDong_DTGTNN!C16),",'Row':",ROW(KetQuaHoatDong_DTGTNN!C16),",","'Format':'numberic'",",'Value':'",SUBSTITUTE(KetQuaHoatDong_DTGTNN!C16,"'","\'"),"','TargetCode':''}")</f>
        <v>{'SheetId':'22416b87-3d40-4a2d-a2da-7fa388b73f41','UId':'4908520e-838c-4f54-bad5-333f0bc05508','Col':3,'Row':16,'Format':'numberic','Value':' ','TargetCode':''}</v>
      </c>
    </row>
    <row r="744" spans="1:1" x14ac:dyDescent="0.2">
      <c r="A744" t="str">
        <f>CONCATENATE("{'SheetId':'22416b87-3d40-4a2d-a2da-7fa388b73f41'",",","'UId':'1f033dbc-b2dc-4101-82ac-d79dd2aaf85b'",",'Col':",COLUMN(KetQuaHoatDong_DTGTNN!D16),",'Row':",ROW(KetQuaHoatDong_DTGTNN!D16),",","'Format':'numberic'",",'Value':'",SUBSTITUTE(KetQuaHoatDong_DTGTNN!D16,"'","\'"),"','TargetCode':''}")</f>
        <v>{'SheetId':'22416b87-3d40-4a2d-a2da-7fa388b73f41','UId':'1f033dbc-b2dc-4101-82ac-d79dd2aaf85b','Col':4,'Row':16,'Format':'numberic','Value':' ','TargetCode':''}</v>
      </c>
    </row>
    <row r="745" spans="1:1" x14ac:dyDescent="0.2">
      <c r="A745" t="str">
        <f>CONCATENATE("{'SheetId':'22416b87-3d40-4a2d-a2da-7fa388b73f41'",",","'UId':'9b366500-038e-4042-bb67-c131e132ec4d'",",'Col':",COLUMN(KetQuaHoatDong_DTGTNN!E16),",'Row':",ROW(KetQuaHoatDong_DTGTNN!E16),",","'Format':'numberic'",",'Value':'",SUBSTITUTE(KetQuaHoatDong_DTGTNN!E16,"'","\'"),"','TargetCode':''}")</f>
        <v>{'SheetId':'22416b87-3d40-4a2d-a2da-7fa388b73f41','UId':'9b366500-038e-4042-bb67-c131e132ec4d','Col':5,'Row':16,'Format':'numberic','Value':' ','TargetCode':''}</v>
      </c>
    </row>
    <row r="746" spans="1:1" x14ac:dyDescent="0.2">
      <c r="A746" t="str">
        <f>CONCATENATE("{'SheetId':'22416b87-3d40-4a2d-a2da-7fa388b73f41'",",","'UId':'9ce07cd8-4bbe-4b9a-8f9e-9fdc861a89ba'",",'Col':",COLUMN(KetQuaHoatDong_DTGTNN!F16),",'Row':",ROW(KetQuaHoatDong_DTGTNN!F16),",","'Format':'numberic'",",'Value':'",SUBSTITUTE(KetQuaHoatDong_DTGTNN!F16,"'","\'"),"','TargetCode':''}")</f>
        <v>{'SheetId':'22416b87-3d40-4a2d-a2da-7fa388b73f41','UId':'9ce07cd8-4bbe-4b9a-8f9e-9fdc861a89ba','Col':6,'Row':16,'Format':'numberic','Value':' ','TargetCode':''}</v>
      </c>
    </row>
    <row r="747" spans="1:1" x14ac:dyDescent="0.2">
      <c r="A747" t="str">
        <f>CONCATENATE("{'SheetId':'22416b87-3d40-4a2d-a2da-7fa388b73f41'",",","'UId':'a242c927-bc61-4e8f-a77b-64e868fed533'",",'Col':",COLUMN(KetQuaHoatDong_DTGTNN!G16),",'Row':",ROW(KetQuaHoatDong_DTGTNN!G16),",","'Format':'numberic'",",'Value':'",SUBSTITUTE(KetQuaHoatDong_DTGTNN!G16,"'","\'"),"','TargetCode':''}")</f>
        <v>{'SheetId':'22416b87-3d40-4a2d-a2da-7fa388b73f41','UId':'a242c927-bc61-4e8f-a77b-64e868fed533','Col':7,'Row':16,'Format':'numberic','Value':' ','TargetCode':''}</v>
      </c>
    </row>
    <row r="748" spans="1:1" x14ac:dyDescent="0.2">
      <c r="A748" t="str">
        <f>CONCATENATE("{'SheetId':'93f0ec52-9af7-4c46-9da1-3e779d5c3f34'",",","'UId':'8751d204-3946-4b3a-bc60-bf4dc0ed7f71'",",'Col':",COLUMN(DanhMucTaiSan_DTGTNN!C3),",'Row':",ROW(DanhMucTaiSan_DTGTNN!C3),",","'Format':'numberic'",",'Value':'",SUBSTITUTE(DanhMucTaiSan_DTGTNN!C3,"'","\'"),"','TargetCode':''}")</f>
        <v>{'SheetId':'93f0ec52-9af7-4c46-9da1-3e779d5c3f34','UId':'8751d204-3946-4b3a-bc60-bf4dc0ed7f71','Col':3,'Row':3,'Format':'numberic','Value':' ','TargetCode':''}</v>
      </c>
    </row>
    <row r="749" spans="1:1" x14ac:dyDescent="0.2">
      <c r="A749" t="str">
        <f>CONCATENATE("{'SheetId':'93f0ec52-9af7-4c46-9da1-3e779d5c3f34'",",","'UId':'cba794c9-35a2-49b2-b3f2-b605bf317da3'",",'Col':",COLUMN(DanhMucTaiSan_DTGTNN!D3),",'Row':",ROW(DanhMucTaiSan_DTGTNN!D3),",","'Format':'numberic'",",'Value':'",SUBSTITUTE(DanhMucTaiSan_DTGTNN!D3,"'","\'"),"','TargetCode':''}")</f>
        <v>{'SheetId':'93f0ec52-9af7-4c46-9da1-3e779d5c3f34','UId':'cba794c9-35a2-49b2-b3f2-b605bf317da3','Col':4,'Row':3,'Format':'numberic','Value':' ','TargetCode':''}</v>
      </c>
    </row>
    <row r="750" spans="1:1" x14ac:dyDescent="0.2">
      <c r="A750" t="str">
        <f>CONCATENATE("{'SheetId':'93f0ec52-9af7-4c46-9da1-3e779d5c3f34'",",","'UId':'d4f73a24-23c4-4776-8613-df4bbc023a79'",",'Col':",COLUMN(DanhMucTaiSan_DTGTNN!E3),",'Row':",ROW(DanhMucTaiSan_DTGTNN!E3),",","'Format':'numberic'",",'Value':'",SUBSTITUTE(DanhMucTaiSan_DTGTNN!E3,"'","\'"),"','TargetCode':''}")</f>
        <v>{'SheetId':'93f0ec52-9af7-4c46-9da1-3e779d5c3f34','UId':'d4f73a24-23c4-4776-8613-df4bbc023a79','Col':5,'Row':3,'Format':'numberic','Value':' ','TargetCode':''}</v>
      </c>
    </row>
    <row r="751" spans="1:1" x14ac:dyDescent="0.2">
      <c r="A751" t="str">
        <f>CONCATENATE("{'SheetId':'93f0ec52-9af7-4c46-9da1-3e779d5c3f34'",",","'UId':'fd9e0412-e97d-42c3-9593-0184d795bc3a'",",'Col':",COLUMN(DanhMucTaiSan_DTGTNN!F3),",'Row':",ROW(DanhMucTaiSan_DTGTNN!F3),",","'Format':'numberic'",",'Value':'",SUBSTITUTE(DanhMucTaiSan_DTGTNN!F3,"'","\'"),"','TargetCode':''}")</f>
        <v>{'SheetId':'93f0ec52-9af7-4c46-9da1-3e779d5c3f34','UId':'fd9e0412-e97d-42c3-9593-0184d795bc3a','Col':6,'Row':3,'Format':'numberic','Value':' ','TargetCode':''}</v>
      </c>
    </row>
    <row r="752" spans="1:1" x14ac:dyDescent="0.2">
      <c r="A752" t="str">
        <f>CONCATENATE("{'SheetId':'93f0ec52-9af7-4c46-9da1-3e779d5c3f34'",",","'UId':'e0c113c1-4748-4488-82eb-e62e9bb68e03'",",'Col':",COLUMN(DanhMucTaiSan_DTGTNN!G3),",'Row':",ROW(DanhMucTaiSan_DTGTNN!G3),",","'Format':'numberic'",",'Value':'",SUBSTITUTE(DanhMucTaiSan_DTGTNN!G3,"'","\'"),"','TargetCode':''}")</f>
        <v>{'SheetId':'93f0ec52-9af7-4c46-9da1-3e779d5c3f34','UId':'e0c113c1-4748-4488-82eb-e62e9bb68e03','Col':7,'Row':3,'Format':'numberic','Value':' ','TargetCode':''}</v>
      </c>
    </row>
    <row r="753" spans="1:1" x14ac:dyDescent="0.2">
      <c r="A753" t="str">
        <f>CONCATENATE("{'SheetId':'93f0ec52-9af7-4c46-9da1-3e779d5c3f34'",",","'UId':'db7d0b7c-e31b-4d59-b3fa-cc4d995d6b48'",",'Col':",COLUMN(DanhMucTaiSan_DTGTNN!H3),",'Row':",ROW(DanhMucTaiSan_DTGTNN!H3),",","'Format':'numberic'",",'Value':'",SUBSTITUTE(DanhMucTaiSan_DTGTNN!H3,"'","\'"),"','TargetCode':''}")</f>
        <v>{'SheetId':'93f0ec52-9af7-4c46-9da1-3e779d5c3f34','UId':'db7d0b7c-e31b-4d59-b3fa-cc4d995d6b48','Col':8,'Row':3,'Format':'numberic','Value':' ','TargetCode':''}</v>
      </c>
    </row>
    <row r="754" spans="1:1" x14ac:dyDescent="0.2">
      <c r="A754" t="str">
        <f>CONCATENATE("{'SheetId':'93f0ec52-9af7-4c46-9da1-3e779d5c3f34'",",","'UId':'a9ab04e1-ae9b-4230-807b-34b2ceb194ba'",",'Col':",COLUMN(DanhMucTaiSan_DTGTNN!A5),",'Row':",ROW(DanhMucTaiSan_DTGTNN!A5),",","'ColDynamic':",COLUMN(DanhMucTaiSan_DTGTNN!A4),",","'RowDynamic':",ROW(DanhMucTaiSan_DTGTNN!A4),",","'Format':'string'",",'Value':'",SUBSTITUTE(DanhMucTaiSan_DTGTNN!A5,"'","\'"),"','TargetCode':''}")</f>
        <v>{'SheetId':'93f0ec52-9af7-4c46-9da1-3e779d5c3f34','UId':'a9ab04e1-ae9b-4230-807b-34b2ceb194ba','Col':1,'Row':5,'ColDynamic':1,'RowDynamic':4,'Format':'string','Value':' ','TargetCode':''}</v>
      </c>
    </row>
    <row r="755" spans="1:1" x14ac:dyDescent="0.2">
      <c r="A755" t="str">
        <f>CONCATENATE("{'SheetId':'93f0ec52-9af7-4c46-9da1-3e779d5c3f34'",",","'UId':'6b09a1b1-677a-47e0-826e-28c58156d12c'",",'Col':",COLUMN(DanhMucTaiSan_DTGTNN!B5),",'Row':",ROW(DanhMucTaiSan_DTGTNN!B5),",","'ColDynamic':",COLUMN(DanhMucTaiSan_DTGTNN!B4),",","'RowDynamic':",ROW(DanhMucTaiSan_DTGTNN!B4),",","'Format':'string'",",'Value':'",SUBSTITUTE(DanhMucTaiSan_DTGTNN!B5,"'","\'"),"','TargetCode':''}")</f>
        <v>{'SheetId':'93f0ec52-9af7-4c46-9da1-3e779d5c3f34','UId':'6b09a1b1-677a-47e0-826e-28c58156d12c','Col':2,'Row':5,'ColDynamic':2,'RowDynamic':4,'Format':'string','Value':'Tổng','TargetCode':''}</v>
      </c>
    </row>
    <row r="756" spans="1:1" x14ac:dyDescent="0.2">
      <c r="A756" t="str">
        <f>CONCATENATE("{'SheetId':'93f0ec52-9af7-4c46-9da1-3e779d5c3f34'",",","'UId':'e9e5e8fb-93e6-423d-9d6a-1f116e3a562f'",",'Col':",COLUMN(DanhMucTaiSan_DTGTNN!C5),",'Row':",ROW(DanhMucTaiSan_DTGTNN!C5),",","'ColDynamic':",COLUMN(DanhMucTaiSan_DTGTNN!C4),",","'RowDynamic':",ROW(DanhMucTaiSan_DTGTNN!C4),",","'Format':'numberic'",",'Value':'",SUBSTITUTE(DanhMucTaiSan_DTGTNN!C5,"'","\'"),"','TargetCode':''}")</f>
        <v>{'SheetId':'93f0ec52-9af7-4c46-9da1-3e779d5c3f34','UId':'e9e5e8fb-93e6-423d-9d6a-1f116e3a562f','Col':3,'Row':5,'ColDynamic':3,'RowDynamic':4,'Format':'numberic','Value':' ','TargetCode':''}</v>
      </c>
    </row>
    <row r="757" spans="1:1" x14ac:dyDescent="0.2">
      <c r="A757" t="str">
        <f>CONCATENATE("{'SheetId':'93f0ec52-9af7-4c46-9da1-3e779d5c3f34'",",","'UId':'eeddbc83-031c-4dbf-a78c-b89df7ccafb8'",",'Col':",COLUMN(DanhMucTaiSan_DTGTNN!D5),",'Row':",ROW(DanhMucTaiSan_DTGTNN!D5),",","'ColDynamic':",COLUMN(DanhMucTaiSan_DTGTNN!D4),",","'RowDynamic':",ROW(DanhMucTaiSan_DTGTNN!D4),",","'Format':'numberic'",",'Value':'",SUBSTITUTE(DanhMucTaiSan_DTGTNN!D5,"'","\'"),"','TargetCode':''}")</f>
        <v>{'SheetId':'93f0ec52-9af7-4c46-9da1-3e779d5c3f34','UId':'eeddbc83-031c-4dbf-a78c-b89df7ccafb8','Col':4,'Row':5,'ColDynamic':4,'RowDynamic':4,'Format':'numberic','Value':' ','TargetCode':''}</v>
      </c>
    </row>
    <row r="758" spans="1:1" x14ac:dyDescent="0.2">
      <c r="A758" t="str">
        <f>CONCATENATE("{'SheetId':'93f0ec52-9af7-4c46-9da1-3e779d5c3f34'",",","'UId':'32ba27ae-1079-4298-9006-f517d10c20c9'",",'Col':",COLUMN(DanhMucTaiSan_DTGTNN!E5),",'Row':",ROW(DanhMucTaiSan_DTGTNN!E5),",","'ColDynamic':",COLUMN(DanhMucTaiSan_DTGTNN!E4),",","'RowDynamic':",ROW(DanhMucTaiSan_DTGTNN!E4),",","'Format':'numberic'",",'Value':'",SUBSTITUTE(DanhMucTaiSan_DTGTNN!E5,"'","\'"),"','TargetCode':''}")</f>
        <v>{'SheetId':'93f0ec52-9af7-4c46-9da1-3e779d5c3f34','UId':'32ba27ae-1079-4298-9006-f517d10c20c9','Col':5,'Row':5,'ColDynamic':5,'RowDynamic':4,'Format':'numberic','Value':' ','TargetCode':''}</v>
      </c>
    </row>
    <row r="759" spans="1:1" x14ac:dyDescent="0.2">
      <c r="A759" t="str">
        <f>CONCATENATE("{'SheetId':'93f0ec52-9af7-4c46-9da1-3e779d5c3f34'",",","'UId':'b691f5cf-faa4-44d6-94e6-55047b283c2b'",",'Col':",COLUMN(DanhMucTaiSan_DTGTNN!F5),",'Row':",ROW(DanhMucTaiSan_DTGTNN!F5),",","'ColDynamic':",COLUMN(DanhMucTaiSan_DTGTNN!F4),",","'RowDynamic':",ROW(DanhMucTaiSan_DTGTNN!F4),",","'Format':'numberic'",",'Value':'",SUBSTITUTE(DanhMucTaiSan_DTGTNN!F5,"'","\'"),"','TargetCode':''}")</f>
        <v>{'SheetId':'93f0ec52-9af7-4c46-9da1-3e779d5c3f34','UId':'b691f5cf-faa4-44d6-94e6-55047b283c2b','Col':6,'Row':5,'ColDynamic':6,'RowDynamic':4,'Format':'numberic','Value':' ','TargetCode':''}</v>
      </c>
    </row>
    <row r="760" spans="1:1" x14ac:dyDescent="0.2">
      <c r="A760" t="str">
        <f>CONCATENATE("{'SheetId':'93f0ec52-9af7-4c46-9da1-3e779d5c3f34'",",","'UId':'0e9926db-9633-4b7d-95e7-03d221a70d90'",",'Col':",COLUMN(DanhMucTaiSan_DTGTNN!G5),",'Row':",ROW(DanhMucTaiSan_DTGTNN!G5),",","'ColDynamic':",COLUMN(DanhMucTaiSan_DTGTNN!G4),",","'RowDynamic':",ROW(DanhMucTaiSan_DTGTNN!G4),",","'Format':'numberic'",",'Value':'",SUBSTITUTE(DanhMucTaiSan_DTGTNN!G5,"'","\'"),"','TargetCode':''}")</f>
        <v>{'SheetId':'93f0ec52-9af7-4c46-9da1-3e779d5c3f34','UId':'0e9926db-9633-4b7d-95e7-03d221a70d90','Col':7,'Row':5,'ColDynamic':7,'RowDynamic':4,'Format':'numberic','Value':' ','TargetCode':''}</v>
      </c>
    </row>
    <row r="761" spans="1:1" x14ac:dyDescent="0.2">
      <c r="A761" t="str">
        <f>CONCATENATE("{'SheetId':'93f0ec52-9af7-4c46-9da1-3e779d5c3f34'",",","'UId':'62f3ed34-147d-4d3a-8822-fcc2bb9087ca'",",'Col':",COLUMN(DanhMucTaiSan_DTGTNN!H5),",'Row':",ROW(DanhMucTaiSan_DTGTNN!H5),",","'ColDynamic':",COLUMN(DanhMucTaiSan_DTGTNN!H4),",","'RowDynamic':",ROW(DanhMucTaiSan_DTGTNN!H4),",","'Format':'numberic'",",'Value':'",SUBSTITUTE(DanhMucTaiSan_DTGTNN!H5,"'","\'"),"','TargetCode':''}")</f>
        <v>{'SheetId':'93f0ec52-9af7-4c46-9da1-3e779d5c3f34','UId':'62f3ed34-147d-4d3a-8822-fcc2bb9087ca','Col':8,'Row':5,'ColDynamic':8,'RowDynamic':4,'Format':'numberic','Value':' ','TargetCode':''}</v>
      </c>
    </row>
    <row r="762" spans="1:1" x14ac:dyDescent="0.2">
      <c r="A762" t="str">
        <f>CONCATENATE("{'SheetId':'93f0ec52-9af7-4c46-9da1-3e779d5c3f34'",",","'UId':'f9ae6abf-80b1-4909-9d46-510dceafd31e'",",'Col':",COLUMN(DanhMucTaiSan_DTGTNN!C6),",'Row':",ROW(DanhMucTaiSan_DTGTNN!C6),",","'Format':'numberic'",",'Value':'",SUBSTITUTE(DanhMucTaiSan_DTGTNN!C6,"'","\'"),"','TargetCode':''}")</f>
        <v>{'SheetId':'93f0ec52-9af7-4c46-9da1-3e779d5c3f34','UId':'f9ae6abf-80b1-4909-9d46-510dceafd31e','Col':3,'Row':6,'Format':'numberic','Value':' ','TargetCode':''}</v>
      </c>
    </row>
    <row r="763" spans="1:1" x14ac:dyDescent="0.2">
      <c r="A763" t="str">
        <f>CONCATENATE("{'SheetId':'93f0ec52-9af7-4c46-9da1-3e779d5c3f34'",",","'UId':'1e1c4951-e7d4-493a-b59d-bd3a1ca490e7'",",'Col':",COLUMN(DanhMucTaiSan_DTGTNN!D6),",'Row':",ROW(DanhMucTaiSan_DTGTNN!D6),",","'Format':'numberic'",",'Value':'",SUBSTITUTE(DanhMucTaiSan_DTGTNN!D6,"'","\'"),"','TargetCode':''}")</f>
        <v>{'SheetId':'93f0ec52-9af7-4c46-9da1-3e779d5c3f34','UId':'1e1c4951-e7d4-493a-b59d-bd3a1ca490e7','Col':4,'Row':6,'Format':'numberic','Value':' ','TargetCode':''}</v>
      </c>
    </row>
    <row r="764" spans="1:1" x14ac:dyDescent="0.2">
      <c r="A764" t="str">
        <f>CONCATENATE("{'SheetId':'93f0ec52-9af7-4c46-9da1-3e779d5c3f34'",",","'UId':'58f6d24c-a34e-4519-9624-c3ab5b209f53'",",'Col':",COLUMN(DanhMucTaiSan_DTGTNN!E6),",'Row':",ROW(DanhMucTaiSan_DTGTNN!E6),",","'Format':'numberic'",",'Value':'",SUBSTITUTE(DanhMucTaiSan_DTGTNN!E6,"'","\'"),"','TargetCode':''}")</f>
        <v>{'SheetId':'93f0ec52-9af7-4c46-9da1-3e779d5c3f34','UId':'58f6d24c-a34e-4519-9624-c3ab5b209f53','Col':5,'Row':6,'Format':'numberic','Value':' ','TargetCode':''}</v>
      </c>
    </row>
    <row r="765" spans="1:1" x14ac:dyDescent="0.2">
      <c r="A765" t="str">
        <f>CONCATENATE("{'SheetId':'93f0ec52-9af7-4c46-9da1-3e779d5c3f34'",",","'UId':'b757ad23-0db7-428c-88fa-cac3b766d1e7'",",'Col':",COLUMN(DanhMucTaiSan_DTGTNN!F6),",'Row':",ROW(DanhMucTaiSan_DTGTNN!F6),",","'Format':'numberic'",",'Value':'",SUBSTITUTE(DanhMucTaiSan_DTGTNN!F6,"'","\'"),"','TargetCode':''}")</f>
        <v>{'SheetId':'93f0ec52-9af7-4c46-9da1-3e779d5c3f34','UId':'b757ad23-0db7-428c-88fa-cac3b766d1e7','Col':6,'Row':6,'Format':'numberic','Value':' ','TargetCode':''}</v>
      </c>
    </row>
    <row r="766" spans="1:1" x14ac:dyDescent="0.2">
      <c r="A766" t="str">
        <f>CONCATENATE("{'SheetId':'93f0ec52-9af7-4c46-9da1-3e779d5c3f34'",",","'UId':'6083f897-cebe-42cf-9f27-fb8642584d45'",",'Col':",COLUMN(DanhMucTaiSan_DTGTNN!G6),",'Row':",ROW(DanhMucTaiSan_DTGTNN!G6),",","'Format':'numberic'",",'Value':'",SUBSTITUTE(DanhMucTaiSan_DTGTNN!G6,"'","\'"),"','TargetCode':''}")</f>
        <v>{'SheetId':'93f0ec52-9af7-4c46-9da1-3e779d5c3f34','UId':'6083f897-cebe-42cf-9f27-fb8642584d45','Col':7,'Row':6,'Format':'numberic','Value':' ','TargetCode':''}</v>
      </c>
    </row>
    <row r="767" spans="1:1" x14ac:dyDescent="0.2">
      <c r="A767" t="str">
        <f>CONCATENATE("{'SheetId':'93f0ec52-9af7-4c46-9da1-3e779d5c3f34'",",","'UId':'1ac3c429-9fc3-4ee5-9913-e6f04e03de33'",",'Col':",COLUMN(DanhMucTaiSan_DTGTNN!H6),",'Row':",ROW(DanhMucTaiSan_DTGTNN!H6),",","'Format':'numberic'",",'Value':'",SUBSTITUTE(DanhMucTaiSan_DTGTNN!H6,"'","\'"),"','TargetCode':''}")</f>
        <v>{'SheetId':'93f0ec52-9af7-4c46-9da1-3e779d5c3f34','UId':'1ac3c429-9fc3-4ee5-9913-e6f04e03de33','Col':8,'Row':6,'Format':'numberic','Value':' ','TargetCode':''}</v>
      </c>
    </row>
    <row r="768" spans="1:1" x14ac:dyDescent="0.2">
      <c r="A768" t="str">
        <f>CONCATENATE("{'SheetId':'93f0ec52-9af7-4c46-9da1-3e779d5c3f34'",",","'UId':'d229d5a8-73ed-499c-9d5a-255c01c416e9'",",'Col':",COLUMN(DanhMucTaiSan_DTGTNN!A8),",'Row':",ROW(DanhMucTaiSan_DTGTNN!A8),",","'ColDynamic':",COLUMN(DanhMucTaiSan_DTGTNN!A7),",","'RowDynamic':",ROW(DanhMucTaiSan_DTGTNN!A7),",","'Format':'string'",",'Value':'",SUBSTITUTE(DanhMucTaiSan_DTGTNN!A8,"'","\'"),"','TargetCode':''}")</f>
        <v>{'SheetId':'93f0ec52-9af7-4c46-9da1-3e779d5c3f34','UId':'d229d5a8-73ed-499c-9d5a-255c01c416e9','Col':1,'Row':8,'ColDynamic':1,'RowDynamic':7,'Format':'string','Value':' ','TargetCode':''}</v>
      </c>
    </row>
    <row r="769" spans="1:1" x14ac:dyDescent="0.2">
      <c r="A769" t="str">
        <f>CONCATENATE("{'SheetId':'93f0ec52-9af7-4c46-9da1-3e779d5c3f34'",",","'UId':'24689be2-831d-4063-a9c8-23be06847f8c'",",'Col':",COLUMN(DanhMucTaiSan_DTGTNN!B8),",'Row':",ROW(DanhMucTaiSan_DTGTNN!B8),",","'ColDynamic':",COLUMN(DanhMucTaiSan_DTGTNN!B7),",","'RowDynamic':",ROW(DanhMucTaiSan_DTGTNN!B7),",","'Format':'string'",",'Value':'",SUBSTITUTE(DanhMucTaiSan_DTGTNN!B8,"'","\'"),"','TargetCode':''}")</f>
        <v>{'SheetId':'93f0ec52-9af7-4c46-9da1-3e779d5c3f34','UId':'24689be2-831d-4063-a9c8-23be06847f8c','Col':2,'Row':8,'ColDynamic':2,'RowDynamic':7,'Format':'string','Value':'Tổng','TargetCode':''}</v>
      </c>
    </row>
    <row r="770" spans="1:1" x14ac:dyDescent="0.2">
      <c r="A770" t="str">
        <f>CONCATENATE("{'SheetId':'93f0ec52-9af7-4c46-9da1-3e779d5c3f34'",",","'UId':'f00fb9c8-efdd-4503-9856-1cd5e5d1a682'",",'Col':",COLUMN(DanhMucTaiSan_DTGTNN!C8),",'Row':",ROW(DanhMucTaiSan_DTGTNN!C8),",","'ColDynamic':",COLUMN(DanhMucTaiSan_DTGTNN!C7),",","'RowDynamic':",ROW(DanhMucTaiSan_DTGTNN!C7),",","'Format':'numberic'",",'Value':'",SUBSTITUTE(DanhMucTaiSan_DTGTNN!C8,"'","\'"),"','TargetCode':''}")</f>
        <v>{'SheetId':'93f0ec52-9af7-4c46-9da1-3e779d5c3f34','UId':'f00fb9c8-efdd-4503-9856-1cd5e5d1a682','Col':3,'Row':8,'ColDynamic':3,'RowDynamic':7,'Format':'numberic','Value':' ','TargetCode':''}</v>
      </c>
    </row>
    <row r="771" spans="1:1" x14ac:dyDescent="0.2">
      <c r="A771" t="str">
        <f>CONCATENATE("{'SheetId':'93f0ec52-9af7-4c46-9da1-3e779d5c3f34'",",","'UId':'74417c0b-8bba-44d6-a4a6-4e06afc10c69'",",'Col':",COLUMN(DanhMucTaiSan_DTGTNN!D8),",'Row':",ROW(DanhMucTaiSan_DTGTNN!D8),",","'ColDynamic':",COLUMN(DanhMucTaiSan_DTGTNN!D7),",","'RowDynamic':",ROW(DanhMucTaiSan_DTGTNN!D7),",","'Format':'numberic'",",'Value':'",SUBSTITUTE(DanhMucTaiSan_DTGTNN!D8,"'","\'"),"','TargetCode':''}")</f>
        <v>{'SheetId':'93f0ec52-9af7-4c46-9da1-3e779d5c3f34','UId':'74417c0b-8bba-44d6-a4a6-4e06afc10c69','Col':4,'Row':8,'ColDynamic':4,'RowDynamic':7,'Format':'numberic','Value':' ','TargetCode':''}</v>
      </c>
    </row>
    <row r="772" spans="1:1" x14ac:dyDescent="0.2">
      <c r="A772" t="str">
        <f>CONCATENATE("{'SheetId':'93f0ec52-9af7-4c46-9da1-3e779d5c3f34'",",","'UId':'7146ad27-fa78-4b0b-b708-5b859476fe96'",",'Col':",COLUMN(DanhMucTaiSan_DTGTNN!E8),",'Row':",ROW(DanhMucTaiSan_DTGTNN!E8),",","'ColDynamic':",COLUMN(DanhMucTaiSan_DTGTNN!E7),",","'RowDynamic':",ROW(DanhMucTaiSan_DTGTNN!E7),",","'Format':'numberic'",",'Value':'",SUBSTITUTE(DanhMucTaiSan_DTGTNN!E8,"'","\'"),"','TargetCode':''}")</f>
        <v>{'SheetId':'93f0ec52-9af7-4c46-9da1-3e779d5c3f34','UId':'7146ad27-fa78-4b0b-b708-5b859476fe96','Col':5,'Row':8,'ColDynamic':5,'RowDynamic':7,'Format':'numberic','Value':' ','TargetCode':''}</v>
      </c>
    </row>
    <row r="773" spans="1:1" x14ac:dyDescent="0.2">
      <c r="A773" t="str">
        <f>CONCATENATE("{'SheetId':'93f0ec52-9af7-4c46-9da1-3e779d5c3f34'",",","'UId':'faba5b14-d578-498e-9abc-ebbea9af51f8'",",'Col':",COLUMN(DanhMucTaiSan_DTGTNN!F8),",'Row':",ROW(DanhMucTaiSan_DTGTNN!F8),",","'ColDynamic':",COLUMN(DanhMucTaiSan_DTGTNN!F7),",","'RowDynamic':",ROW(DanhMucTaiSan_DTGTNN!F7),",","'Format':'numberic'",",'Value':'",SUBSTITUTE(DanhMucTaiSan_DTGTNN!F8,"'","\'"),"','TargetCode':''}")</f>
        <v>{'SheetId':'93f0ec52-9af7-4c46-9da1-3e779d5c3f34','UId':'faba5b14-d578-498e-9abc-ebbea9af51f8','Col':6,'Row':8,'ColDynamic':6,'RowDynamic':7,'Format':'numberic','Value':' ','TargetCode':''}</v>
      </c>
    </row>
    <row r="774" spans="1:1" x14ac:dyDescent="0.2">
      <c r="A774" t="str">
        <f>CONCATENATE("{'SheetId':'93f0ec52-9af7-4c46-9da1-3e779d5c3f34'",",","'UId':'6f5016ab-c0b5-46b6-b5a9-6e9400c93342'",",'Col':",COLUMN(DanhMucTaiSan_DTGTNN!G8),",'Row':",ROW(DanhMucTaiSan_DTGTNN!G8),",","'ColDynamic':",COLUMN(DanhMucTaiSan_DTGTNN!G7),",","'RowDynamic':",ROW(DanhMucTaiSan_DTGTNN!G7),",","'Format':'numberic'",",'Value':'",SUBSTITUTE(DanhMucTaiSan_DTGTNN!G8,"'","\'"),"','TargetCode':''}")</f>
        <v>{'SheetId':'93f0ec52-9af7-4c46-9da1-3e779d5c3f34','UId':'6f5016ab-c0b5-46b6-b5a9-6e9400c93342','Col':7,'Row':8,'ColDynamic':7,'RowDynamic':7,'Format':'numberic','Value':' ','TargetCode':''}</v>
      </c>
    </row>
    <row r="775" spans="1:1" x14ac:dyDescent="0.2">
      <c r="A775" t="str">
        <f>CONCATENATE("{'SheetId':'93f0ec52-9af7-4c46-9da1-3e779d5c3f34'",",","'UId':'80c4b435-76fe-4da7-9247-8b418020b74a'",",'Col':",COLUMN(DanhMucTaiSan_DTGTNN!H8),",'Row':",ROW(DanhMucTaiSan_DTGTNN!H8),",","'ColDynamic':",COLUMN(DanhMucTaiSan_DTGTNN!H7),",","'RowDynamic':",ROW(DanhMucTaiSan_DTGTNN!H7),",","'Format':'numberic'",",'Value':'",SUBSTITUTE(DanhMucTaiSan_DTGTNN!H8,"'","\'"),"','TargetCode':''}")</f>
        <v>{'SheetId':'93f0ec52-9af7-4c46-9da1-3e779d5c3f34','UId':'80c4b435-76fe-4da7-9247-8b418020b74a','Col':8,'Row':8,'ColDynamic':8,'RowDynamic':7,'Format':'numberic','Value':' ','TargetCode':''}</v>
      </c>
    </row>
    <row r="776" spans="1:1" x14ac:dyDescent="0.2">
      <c r="A776" t="str">
        <f>CONCATENATE("{'SheetId':'93f0ec52-9af7-4c46-9da1-3e779d5c3f34'",",","'UId':'2532d316-5523-49d8-b439-1b8ae901c896'",",'Col':",COLUMN(DanhMucTaiSan_DTGTNN!C9),",'Row':",ROW(DanhMucTaiSan_DTGTNN!C9),",","'Format':'numberic'",",'Value':'",SUBSTITUTE(DanhMucTaiSan_DTGTNN!C9,"'","\'"),"','TargetCode':''}")</f>
        <v>{'SheetId':'93f0ec52-9af7-4c46-9da1-3e779d5c3f34','UId':'2532d316-5523-49d8-b439-1b8ae901c896','Col':3,'Row':9,'Format':'numberic','Value':' ','TargetCode':''}</v>
      </c>
    </row>
    <row r="777" spans="1:1" x14ac:dyDescent="0.2">
      <c r="A777" t="str">
        <f>CONCATENATE("{'SheetId':'93f0ec52-9af7-4c46-9da1-3e779d5c3f34'",",","'UId':'a765af3a-cdd2-4986-925f-dc4b0ca6dfa8'",",'Col':",COLUMN(DanhMucTaiSan_DTGTNN!D9),",'Row':",ROW(DanhMucTaiSan_DTGTNN!D9),",","'Format':'numberic'",",'Value':'",SUBSTITUTE(DanhMucTaiSan_DTGTNN!D9,"'","\'"),"','TargetCode':''}")</f>
        <v>{'SheetId':'93f0ec52-9af7-4c46-9da1-3e779d5c3f34','UId':'a765af3a-cdd2-4986-925f-dc4b0ca6dfa8','Col':4,'Row':9,'Format':'numberic','Value':' ','TargetCode':''}</v>
      </c>
    </row>
    <row r="778" spans="1:1" x14ac:dyDescent="0.2">
      <c r="A778" t="str">
        <f>CONCATENATE("{'SheetId':'93f0ec52-9af7-4c46-9da1-3e779d5c3f34'",",","'UId':'bd2f8cc0-0c22-45dc-8c32-1949411ccd6d'",",'Col':",COLUMN(DanhMucTaiSan_DTGTNN!E9),",'Row':",ROW(DanhMucTaiSan_DTGTNN!E9),",","'Format':'numberic'",",'Value':'",SUBSTITUTE(DanhMucTaiSan_DTGTNN!E9,"'","\'"),"','TargetCode':''}")</f>
        <v>{'SheetId':'93f0ec52-9af7-4c46-9da1-3e779d5c3f34','UId':'bd2f8cc0-0c22-45dc-8c32-1949411ccd6d','Col':5,'Row':9,'Format':'numberic','Value':' ','TargetCode':''}</v>
      </c>
    </row>
    <row r="779" spans="1:1" x14ac:dyDescent="0.2">
      <c r="A779" t="str">
        <f>CONCATENATE("{'SheetId':'93f0ec52-9af7-4c46-9da1-3e779d5c3f34'",",","'UId':'bf389801-0154-4474-b318-3b8b0abcaa44'",",'Col':",COLUMN(DanhMucTaiSan_DTGTNN!F9),",'Row':",ROW(DanhMucTaiSan_DTGTNN!F9),",","'Format':'numberic'",",'Value':'",SUBSTITUTE(DanhMucTaiSan_DTGTNN!F9,"'","\'"),"','TargetCode':''}")</f>
        <v>{'SheetId':'93f0ec52-9af7-4c46-9da1-3e779d5c3f34','UId':'bf389801-0154-4474-b318-3b8b0abcaa44','Col':6,'Row':9,'Format':'numberic','Value':' ','TargetCode':''}</v>
      </c>
    </row>
    <row r="780" spans="1:1" x14ac:dyDescent="0.2">
      <c r="A780" t="str">
        <f>CONCATENATE("{'SheetId':'93f0ec52-9af7-4c46-9da1-3e779d5c3f34'",",","'UId':'c4a1f076-8240-4a5c-8d60-777c53f7ce95'",",'Col':",COLUMN(DanhMucTaiSan_DTGTNN!G9),",'Row':",ROW(DanhMucTaiSan_DTGTNN!G9),",","'Format':'numberic'",",'Value':'",SUBSTITUTE(DanhMucTaiSan_DTGTNN!G9,"'","\'"),"','TargetCode':''}")</f>
        <v>{'SheetId':'93f0ec52-9af7-4c46-9da1-3e779d5c3f34','UId':'c4a1f076-8240-4a5c-8d60-777c53f7ce95','Col':7,'Row':9,'Format':'numberic','Value':' ','TargetCode':''}</v>
      </c>
    </row>
    <row r="781" spans="1:1" x14ac:dyDescent="0.2">
      <c r="A781" t="str">
        <f>CONCATENATE("{'SheetId':'93f0ec52-9af7-4c46-9da1-3e779d5c3f34'",",","'UId':'b6cf7356-15c6-418c-bb94-359956f62d81'",",'Col':",COLUMN(DanhMucTaiSan_DTGTNN!H9),",'Row':",ROW(DanhMucTaiSan_DTGTNN!H9),",","'Format':'numberic'",",'Value':'",SUBSTITUTE(DanhMucTaiSan_DTGTNN!H9,"'","\'"),"','TargetCode':''}")</f>
        <v>{'SheetId':'93f0ec52-9af7-4c46-9da1-3e779d5c3f34','UId':'b6cf7356-15c6-418c-bb94-359956f62d81','Col':8,'Row':9,'Format':'numberic','Value':' ','TargetCode':''}</v>
      </c>
    </row>
    <row r="782" spans="1:1" x14ac:dyDescent="0.2">
      <c r="A782" t="str">
        <f>CONCATENATE("{'SheetId':'93f0ec52-9af7-4c46-9da1-3e779d5c3f34'",",","'UId':'fbbec408-08d6-4dd6-b8c1-445c9167af34'",",'Col':",COLUMN(DanhMucTaiSan_DTGTNN!A11),",'Row':",ROW(DanhMucTaiSan_DTGTNN!A11),",","'ColDynamic':",COLUMN(DanhMucTaiSan_DTGTNN!A10),",","'RowDynamic':",ROW(DanhMucTaiSan_DTGTNN!A10),",","'Format':'string'",",'Value':'",SUBSTITUTE(DanhMucTaiSan_DTGTNN!A11,"'","\'"),"','TargetCode':''}")</f>
        <v>{'SheetId':'93f0ec52-9af7-4c46-9da1-3e779d5c3f34','UId':'fbbec408-08d6-4dd6-b8c1-445c9167af34','Col':1,'Row':11,'ColDynamic':1,'RowDynamic':10,'Format':'string','Value':' ','TargetCode':''}</v>
      </c>
    </row>
    <row r="783" spans="1:1" x14ac:dyDescent="0.2">
      <c r="A783" t="str">
        <f>CONCATENATE("{'SheetId':'93f0ec52-9af7-4c46-9da1-3e779d5c3f34'",",","'UId':'00941ec9-3441-4eb2-8238-f9a389fec35f'",",'Col':",COLUMN(DanhMucTaiSan_DTGTNN!B11),",'Row':",ROW(DanhMucTaiSan_DTGTNN!B11),",","'ColDynamic':",COLUMN(DanhMucTaiSan_DTGTNN!B10),",","'RowDynamic':",ROW(DanhMucTaiSan_DTGTNN!B10),",","'Format':'string'",",'Value':'",SUBSTITUTE(DanhMucTaiSan_DTGTNN!B11,"'","\'"),"','TargetCode':''}")</f>
        <v>{'SheetId':'93f0ec52-9af7-4c46-9da1-3e779d5c3f34','UId':'00941ec9-3441-4eb2-8238-f9a389fec35f','Col':2,'Row':11,'ColDynamic':2,'RowDynamic':10,'Format':'string','Value':'Tổng','TargetCode':''}</v>
      </c>
    </row>
    <row r="784" spans="1:1" x14ac:dyDescent="0.2">
      <c r="A784" t="str">
        <f>CONCATENATE("{'SheetId':'93f0ec52-9af7-4c46-9da1-3e779d5c3f34'",",","'UId':'f68c961d-df09-4711-9d63-d3894beeee53'",",'Col':",COLUMN(DanhMucTaiSan_DTGTNN!C11),",'Row':",ROW(DanhMucTaiSan_DTGTNN!C11),",","'ColDynamic':",COLUMN(DanhMucTaiSan_DTGTNN!C10),",","'RowDynamic':",ROW(DanhMucTaiSan_DTGTNN!C10),",","'Format':'numberic'",",'Value':'",SUBSTITUTE(DanhMucTaiSan_DTGTNN!C11,"'","\'"),"','TargetCode':''}")</f>
        <v>{'SheetId':'93f0ec52-9af7-4c46-9da1-3e779d5c3f34','UId':'f68c961d-df09-4711-9d63-d3894beeee53','Col':3,'Row':11,'ColDynamic':3,'RowDynamic':10,'Format':'numberic','Value':' ','TargetCode':''}</v>
      </c>
    </row>
    <row r="785" spans="1:1" x14ac:dyDescent="0.2">
      <c r="A785" t="str">
        <f>CONCATENATE("{'SheetId':'93f0ec52-9af7-4c46-9da1-3e779d5c3f34'",",","'UId':'a1cafa59-dc74-49dc-9224-138e9671729d'",",'Col':",COLUMN(DanhMucTaiSan_DTGTNN!D11),",'Row':",ROW(DanhMucTaiSan_DTGTNN!D11),",","'ColDynamic':",COLUMN(DanhMucTaiSan_DTGTNN!D10),",","'RowDynamic':",ROW(DanhMucTaiSan_DTGTNN!D10),",","'Format':'numberic'",",'Value':'",SUBSTITUTE(DanhMucTaiSan_DTGTNN!D11,"'","\'"),"','TargetCode':''}")</f>
        <v>{'SheetId':'93f0ec52-9af7-4c46-9da1-3e779d5c3f34','UId':'a1cafa59-dc74-49dc-9224-138e9671729d','Col':4,'Row':11,'ColDynamic':4,'RowDynamic':10,'Format':'numberic','Value':' ','TargetCode':''}</v>
      </c>
    </row>
    <row r="786" spans="1:1" x14ac:dyDescent="0.2">
      <c r="A786" t="str">
        <f>CONCATENATE("{'SheetId':'93f0ec52-9af7-4c46-9da1-3e779d5c3f34'",",","'UId':'faf935de-507e-447a-a393-3c341d3d6165'",",'Col':",COLUMN(DanhMucTaiSan_DTGTNN!E11),",'Row':",ROW(DanhMucTaiSan_DTGTNN!E11),",","'ColDynamic':",COLUMN(DanhMucTaiSan_DTGTNN!E10),",","'RowDynamic':",ROW(DanhMucTaiSan_DTGTNN!E10),",","'Format':'numberic'",",'Value':'",SUBSTITUTE(DanhMucTaiSan_DTGTNN!E11,"'","\'"),"','TargetCode':''}")</f>
        <v>{'SheetId':'93f0ec52-9af7-4c46-9da1-3e779d5c3f34','UId':'faf935de-507e-447a-a393-3c341d3d6165','Col':5,'Row':11,'ColDynamic':5,'RowDynamic':10,'Format':'numberic','Value':' ','TargetCode':''}</v>
      </c>
    </row>
    <row r="787" spans="1:1" x14ac:dyDescent="0.2">
      <c r="A787" t="str">
        <f>CONCATENATE("{'SheetId':'93f0ec52-9af7-4c46-9da1-3e779d5c3f34'",",","'UId':'c197e14f-0b88-4f00-bff3-d0de6a7dc1f2'",",'Col':",COLUMN(DanhMucTaiSan_DTGTNN!F11),",'Row':",ROW(DanhMucTaiSan_DTGTNN!F11),",","'ColDynamic':",COLUMN(DanhMucTaiSan_DTGTNN!F10),",","'RowDynamic':",ROW(DanhMucTaiSan_DTGTNN!F10),",","'Format':'numberic'",",'Value':'",SUBSTITUTE(DanhMucTaiSan_DTGTNN!F11,"'","\'"),"','TargetCode':''}")</f>
        <v>{'SheetId':'93f0ec52-9af7-4c46-9da1-3e779d5c3f34','UId':'c197e14f-0b88-4f00-bff3-d0de6a7dc1f2','Col':6,'Row':11,'ColDynamic':6,'RowDynamic':10,'Format':'numberic','Value':' ','TargetCode':''}</v>
      </c>
    </row>
    <row r="788" spans="1:1" x14ac:dyDescent="0.2">
      <c r="A788" t="str">
        <f>CONCATENATE("{'SheetId':'93f0ec52-9af7-4c46-9da1-3e779d5c3f34'",",","'UId':'974c9868-40da-400b-8c74-855d4b68e603'",",'Col':",COLUMN(DanhMucTaiSan_DTGTNN!G11),",'Row':",ROW(DanhMucTaiSan_DTGTNN!G11),",","'ColDynamic':",COLUMN(DanhMucTaiSan_DTGTNN!G10),",","'RowDynamic':",ROW(DanhMucTaiSan_DTGTNN!G10),",","'Format':'numberic'",",'Value':'",SUBSTITUTE(DanhMucTaiSan_DTGTNN!G11,"'","\'"),"','TargetCode':''}")</f>
        <v>{'SheetId':'93f0ec52-9af7-4c46-9da1-3e779d5c3f34','UId':'974c9868-40da-400b-8c74-855d4b68e603','Col':7,'Row':11,'ColDynamic':7,'RowDynamic':10,'Format':'numberic','Value':' ','TargetCode':''}</v>
      </c>
    </row>
    <row r="789" spans="1:1" x14ac:dyDescent="0.2">
      <c r="A789" t="str">
        <f>CONCATENATE("{'SheetId':'93f0ec52-9af7-4c46-9da1-3e779d5c3f34'",",","'UId':'1399b69c-0a49-4b1b-9e2c-f0501cf61e41'",",'Col':",COLUMN(DanhMucTaiSan_DTGTNN!H11),",'Row':",ROW(DanhMucTaiSan_DTGTNN!H11),",","'ColDynamic':",COLUMN(DanhMucTaiSan_DTGTNN!H10),",","'RowDynamic':",ROW(DanhMucTaiSan_DTGTNN!H10),",","'Format':'numberic'",",'Value':'",SUBSTITUTE(DanhMucTaiSan_DTGTNN!H11,"'","\'"),"','TargetCode':''}")</f>
        <v>{'SheetId':'93f0ec52-9af7-4c46-9da1-3e779d5c3f34','UId':'1399b69c-0a49-4b1b-9e2c-f0501cf61e41','Col':8,'Row':11,'ColDynamic':8,'RowDynamic':10,'Format':'numberic','Value':' ','TargetCode':''}</v>
      </c>
    </row>
    <row r="790" spans="1:1" x14ac:dyDescent="0.2">
      <c r="A790" t="str">
        <f>CONCATENATE("{'SheetId':'93f0ec52-9af7-4c46-9da1-3e779d5c3f34'",",","'UId':'5a81d957-a27c-4d11-888c-440a69f07d9c'",",'Col':",COLUMN(DanhMucTaiSan_DTGTNN!C12),",'Row':",ROW(DanhMucTaiSan_DTGTNN!C12),",","'Format':'numberic'",",'Value':'",SUBSTITUTE(DanhMucTaiSan_DTGTNN!C12,"'","\'"),"','TargetCode':''}")</f>
        <v>{'SheetId':'93f0ec52-9af7-4c46-9da1-3e779d5c3f34','UId':'5a81d957-a27c-4d11-888c-440a69f07d9c','Col':3,'Row':12,'Format':'numberic','Value':' ','TargetCode':''}</v>
      </c>
    </row>
    <row r="791" spans="1:1" x14ac:dyDescent="0.2">
      <c r="A791" t="str">
        <f>CONCATENATE("{'SheetId':'93f0ec52-9af7-4c46-9da1-3e779d5c3f34'",",","'UId':'cf3cd291-9306-44e3-b6a7-762f6af9b883'",",'Col':",COLUMN(DanhMucTaiSan_DTGTNN!D12),",'Row':",ROW(DanhMucTaiSan_DTGTNN!D12),",","'Format':'numberic'",",'Value':'",SUBSTITUTE(DanhMucTaiSan_DTGTNN!D12,"'","\'"),"','TargetCode':''}")</f>
        <v>{'SheetId':'93f0ec52-9af7-4c46-9da1-3e779d5c3f34','UId':'cf3cd291-9306-44e3-b6a7-762f6af9b883','Col':4,'Row':12,'Format':'numberic','Value':' ','TargetCode':''}</v>
      </c>
    </row>
    <row r="792" spans="1:1" x14ac:dyDescent="0.2">
      <c r="A792" t="str">
        <f>CONCATENATE("{'SheetId':'93f0ec52-9af7-4c46-9da1-3e779d5c3f34'",",","'UId':'d69f8cd6-70d5-4f87-aaf4-862f536e7508'",",'Col':",COLUMN(DanhMucTaiSan_DTGTNN!E12),",'Row':",ROW(DanhMucTaiSan_DTGTNN!E12),",","'Format':'numberic'",",'Value':'",SUBSTITUTE(DanhMucTaiSan_DTGTNN!E12,"'","\'"),"','TargetCode':''}")</f>
        <v>{'SheetId':'93f0ec52-9af7-4c46-9da1-3e779d5c3f34','UId':'d69f8cd6-70d5-4f87-aaf4-862f536e7508','Col':5,'Row':12,'Format':'numberic','Value':' ','TargetCode':''}</v>
      </c>
    </row>
    <row r="793" spans="1:1" x14ac:dyDescent="0.2">
      <c r="A793" t="str">
        <f>CONCATENATE("{'SheetId':'93f0ec52-9af7-4c46-9da1-3e779d5c3f34'",",","'UId':'f07c7fcd-5aaf-4120-99a6-39425173b936'",",'Col':",COLUMN(DanhMucTaiSan_DTGTNN!F12),",'Row':",ROW(DanhMucTaiSan_DTGTNN!F12),",","'Format':'numberic'",",'Value':'",SUBSTITUTE(DanhMucTaiSan_DTGTNN!F12,"'","\'"),"','TargetCode':''}")</f>
        <v>{'SheetId':'93f0ec52-9af7-4c46-9da1-3e779d5c3f34','UId':'f07c7fcd-5aaf-4120-99a6-39425173b936','Col':6,'Row':12,'Format':'numberic','Value':' ','TargetCode':''}</v>
      </c>
    </row>
    <row r="794" spans="1:1" x14ac:dyDescent="0.2">
      <c r="A794" t="str">
        <f>CONCATENATE("{'SheetId':'93f0ec52-9af7-4c46-9da1-3e779d5c3f34'",",","'UId':'09ef7b17-35c5-499b-af15-3d0dee702e51'",",'Col':",COLUMN(DanhMucTaiSan_DTGTNN!G12),",'Row':",ROW(DanhMucTaiSan_DTGTNN!G12),",","'Format':'numberic'",",'Value':'",SUBSTITUTE(DanhMucTaiSan_DTGTNN!G12,"'","\'"),"','TargetCode':''}")</f>
        <v>{'SheetId':'93f0ec52-9af7-4c46-9da1-3e779d5c3f34','UId':'09ef7b17-35c5-499b-af15-3d0dee702e51','Col':7,'Row':12,'Format':'numberic','Value':' ','TargetCode':''}</v>
      </c>
    </row>
    <row r="795" spans="1:1" x14ac:dyDescent="0.2">
      <c r="A795" t="str">
        <f>CONCATENATE("{'SheetId':'93f0ec52-9af7-4c46-9da1-3e779d5c3f34'",",","'UId':'f420bf8a-ca86-4ffb-873a-0323dd49e552'",",'Col':",COLUMN(DanhMucTaiSan_DTGTNN!H12),",'Row':",ROW(DanhMucTaiSan_DTGTNN!H12),",","'Format':'numberic'",",'Value':'",SUBSTITUTE(DanhMucTaiSan_DTGTNN!H12,"'","\'"),"','TargetCode':''}")</f>
        <v>{'SheetId':'93f0ec52-9af7-4c46-9da1-3e779d5c3f34','UId':'f420bf8a-ca86-4ffb-873a-0323dd49e552','Col':8,'Row':12,'Format':'numberic','Value':' ','TargetCode':''}</v>
      </c>
    </row>
    <row r="796" spans="1:1" x14ac:dyDescent="0.2">
      <c r="A796" t="str">
        <f>CONCATENATE("{'SheetId':'93f0ec52-9af7-4c46-9da1-3e779d5c3f34'",",","'UId':'33531282-0f06-42fd-bf7c-c37825ae9885'",",'Col':",COLUMN(DanhMucTaiSan_DTGTNN!A14),",'Row':",ROW(DanhMucTaiSan_DTGTNN!A14),",","'ColDynamic':",COLUMN(DanhMucTaiSan_DTGTNN!A13),",","'RowDynamic':",ROW(DanhMucTaiSan_DTGTNN!A13),",","'Format':'string'",",'Value':'",SUBSTITUTE(DanhMucTaiSan_DTGTNN!A14,"'","\'"),"','TargetCode':''}")</f>
        <v>{'SheetId':'93f0ec52-9af7-4c46-9da1-3e779d5c3f34','UId':'33531282-0f06-42fd-bf7c-c37825ae9885','Col':1,'Row':14,'ColDynamic':1,'RowDynamic':13,'Format':'string','Value':' ','TargetCode':''}</v>
      </c>
    </row>
    <row r="797" spans="1:1" x14ac:dyDescent="0.2">
      <c r="A797" t="str">
        <f>CONCATENATE("{'SheetId':'93f0ec52-9af7-4c46-9da1-3e779d5c3f34'",",","'UId':'45e65bff-2eb7-4a65-afae-0bbe11e527ab'",",'Col':",COLUMN(DanhMucTaiSan_DTGTNN!B14),",'Row':",ROW(DanhMucTaiSan_DTGTNN!B14),",","'ColDynamic':",COLUMN(DanhMucTaiSan_DTGTNN!B13),",","'RowDynamic':",ROW(DanhMucTaiSan_DTGTNN!B13),",","'Format':'string'",",'Value':'",SUBSTITUTE(DanhMucTaiSan_DTGTNN!B14,"'","\'"),"','TargetCode':''}")</f>
        <v>{'SheetId':'93f0ec52-9af7-4c46-9da1-3e779d5c3f34','UId':'45e65bff-2eb7-4a65-afae-0bbe11e527ab','Col':2,'Row':14,'ColDynamic':2,'RowDynamic':13,'Format':'string','Value':'Tổng','TargetCode':''}</v>
      </c>
    </row>
    <row r="798" spans="1:1" x14ac:dyDescent="0.2">
      <c r="A798" t="str">
        <f>CONCATENATE("{'SheetId':'93f0ec52-9af7-4c46-9da1-3e779d5c3f34'",",","'UId':'ec2e5cc8-4429-410c-827d-cb7f35ef8e1f'",",'Col':",COLUMN(DanhMucTaiSan_DTGTNN!C14),",'Row':",ROW(DanhMucTaiSan_DTGTNN!C14),",","'ColDynamic':",COLUMN(DanhMucTaiSan_DTGTNN!C13),",","'RowDynamic':",ROW(DanhMucTaiSan_DTGTNN!C13),",","'Format':'numberic'",",'Value':'",SUBSTITUTE(DanhMucTaiSan_DTGTNN!C14,"'","\'"),"','TargetCode':''}")</f>
        <v>{'SheetId':'93f0ec52-9af7-4c46-9da1-3e779d5c3f34','UId':'ec2e5cc8-4429-410c-827d-cb7f35ef8e1f','Col':3,'Row':14,'ColDynamic':3,'RowDynamic':13,'Format':'numberic','Value':' ','TargetCode':''}</v>
      </c>
    </row>
    <row r="799" spans="1:1" x14ac:dyDescent="0.2">
      <c r="A799" t="str">
        <f>CONCATENATE("{'SheetId':'93f0ec52-9af7-4c46-9da1-3e779d5c3f34'",",","'UId':'c043b298-a336-4c61-a213-91aefa796bd3'",",'Col':",COLUMN(DanhMucTaiSan_DTGTNN!D14),",'Row':",ROW(DanhMucTaiSan_DTGTNN!D14),",","'ColDynamic':",COLUMN(DanhMucTaiSan_DTGTNN!D13),",","'RowDynamic':",ROW(DanhMucTaiSan_DTGTNN!D13),",","'Format':'numberic'",",'Value':'",SUBSTITUTE(DanhMucTaiSan_DTGTNN!D14,"'","\'"),"','TargetCode':''}")</f>
        <v>{'SheetId':'93f0ec52-9af7-4c46-9da1-3e779d5c3f34','UId':'c043b298-a336-4c61-a213-91aefa796bd3','Col':4,'Row':14,'ColDynamic':4,'RowDynamic':13,'Format':'numberic','Value':' ','TargetCode':''}</v>
      </c>
    </row>
    <row r="800" spans="1:1" x14ac:dyDescent="0.2">
      <c r="A800" t="str">
        <f>CONCATENATE("{'SheetId':'93f0ec52-9af7-4c46-9da1-3e779d5c3f34'",",","'UId':'71189fa9-5383-4117-8efd-22a642626699'",",'Col':",COLUMN(DanhMucTaiSan_DTGTNN!E14),",'Row':",ROW(DanhMucTaiSan_DTGTNN!E14),",","'ColDynamic':",COLUMN(DanhMucTaiSan_DTGTNN!E13),",","'RowDynamic':",ROW(DanhMucTaiSan_DTGTNN!E13),",","'Format':'numberic'",",'Value':'",SUBSTITUTE(DanhMucTaiSan_DTGTNN!E14,"'","\'"),"','TargetCode':''}")</f>
        <v>{'SheetId':'93f0ec52-9af7-4c46-9da1-3e779d5c3f34','UId':'71189fa9-5383-4117-8efd-22a642626699','Col':5,'Row':14,'ColDynamic':5,'RowDynamic':13,'Format':'numberic','Value':' ','TargetCode':''}</v>
      </c>
    </row>
    <row r="801" spans="1:1" x14ac:dyDescent="0.2">
      <c r="A801" t="str">
        <f>CONCATENATE("{'SheetId':'93f0ec52-9af7-4c46-9da1-3e779d5c3f34'",",","'UId':'5bb69e88-14b7-4eb5-92c4-d9efa8bf51ff'",",'Col':",COLUMN(DanhMucTaiSan_DTGTNN!F14),",'Row':",ROW(DanhMucTaiSan_DTGTNN!F14),",","'ColDynamic':",COLUMN(DanhMucTaiSan_DTGTNN!F13),",","'RowDynamic':",ROW(DanhMucTaiSan_DTGTNN!F13),",","'Format':'numberic'",",'Value':'",SUBSTITUTE(DanhMucTaiSan_DTGTNN!F14,"'","\'"),"','TargetCode':''}")</f>
        <v>{'SheetId':'93f0ec52-9af7-4c46-9da1-3e779d5c3f34','UId':'5bb69e88-14b7-4eb5-92c4-d9efa8bf51ff','Col':6,'Row':14,'ColDynamic':6,'RowDynamic':13,'Format':'numberic','Value':' ','TargetCode':''}</v>
      </c>
    </row>
    <row r="802" spans="1:1" x14ac:dyDescent="0.2">
      <c r="A802" t="str">
        <f>CONCATENATE("{'SheetId':'93f0ec52-9af7-4c46-9da1-3e779d5c3f34'",",","'UId':'81cd8202-aeed-414a-91e5-7df20df96a78'",",'Col':",COLUMN(DanhMucTaiSan_DTGTNN!G14),",'Row':",ROW(DanhMucTaiSan_DTGTNN!G14),",","'ColDynamic':",COLUMN(DanhMucTaiSan_DTGTNN!G13),",","'RowDynamic':",ROW(DanhMucTaiSan_DTGTNN!G13),",","'Format':'numberic'",",'Value':'",SUBSTITUTE(DanhMucTaiSan_DTGTNN!G14,"'","\'"),"','TargetCode':''}")</f>
        <v>{'SheetId':'93f0ec52-9af7-4c46-9da1-3e779d5c3f34','UId':'81cd8202-aeed-414a-91e5-7df20df96a78','Col':7,'Row':14,'ColDynamic':7,'RowDynamic':13,'Format':'numberic','Value':' ','TargetCode':''}</v>
      </c>
    </row>
    <row r="803" spans="1:1" x14ac:dyDescent="0.2">
      <c r="A803" t="str">
        <f>CONCATENATE("{'SheetId':'93f0ec52-9af7-4c46-9da1-3e779d5c3f34'",",","'UId':'65716890-05d8-4947-a749-7dd330a5b8d3'",",'Col':",COLUMN(DanhMucTaiSan_DTGTNN!H14),",'Row':",ROW(DanhMucTaiSan_DTGTNN!H14),",","'ColDynamic':",COLUMN(DanhMucTaiSan_DTGTNN!H13),",","'RowDynamic':",ROW(DanhMucTaiSan_DTGTNN!H13),",","'Format':'numberic'",",'Value':'",SUBSTITUTE(DanhMucTaiSan_DTGTNN!H14,"'","\'"),"','TargetCode':''}")</f>
        <v>{'SheetId':'93f0ec52-9af7-4c46-9da1-3e779d5c3f34','UId':'65716890-05d8-4947-a749-7dd330a5b8d3','Col':8,'Row':14,'ColDynamic':8,'RowDynamic':13,'Format':'numberic','Value':' ','TargetCode':''}</v>
      </c>
    </row>
    <row r="804" spans="1:1" x14ac:dyDescent="0.2">
      <c r="A804" t="str">
        <f>CONCATENATE("{'SheetId':'93f0ec52-9af7-4c46-9da1-3e779d5c3f34'",",","'UId':'2f6330e1-3995-47a2-b74e-9e9152c24eac'",",'Col':",COLUMN(DanhMucTaiSan_DTGTNN!C15),",'Row':",ROW(DanhMucTaiSan_DTGTNN!C15),",","'Format':'numberic'",",'Value':'",SUBSTITUTE(DanhMucTaiSan_DTGTNN!C15,"'","\'"),"','TargetCode':''}")</f>
        <v>{'SheetId':'93f0ec52-9af7-4c46-9da1-3e779d5c3f34','UId':'2f6330e1-3995-47a2-b74e-9e9152c24eac','Col':3,'Row':15,'Format':'numberic','Value':' ','TargetCode':''}</v>
      </c>
    </row>
    <row r="805" spans="1:1" x14ac:dyDescent="0.2">
      <c r="A805" t="str">
        <f>CONCATENATE("{'SheetId':'93f0ec52-9af7-4c46-9da1-3e779d5c3f34'",",","'UId':'c4b6401c-8a6f-4651-bf28-034b33881ee6'",",'Col':",COLUMN(DanhMucTaiSan_DTGTNN!D15),",'Row':",ROW(DanhMucTaiSan_DTGTNN!D15),",","'Format':'numberic'",",'Value':'",SUBSTITUTE(DanhMucTaiSan_DTGTNN!D15,"'","\'"),"','TargetCode':''}")</f>
        <v>{'SheetId':'93f0ec52-9af7-4c46-9da1-3e779d5c3f34','UId':'c4b6401c-8a6f-4651-bf28-034b33881ee6','Col':4,'Row':15,'Format':'numberic','Value':' ','TargetCode':''}</v>
      </c>
    </row>
    <row r="806" spans="1:1" x14ac:dyDescent="0.2">
      <c r="A806" t="str">
        <f>CONCATENATE("{'SheetId':'93f0ec52-9af7-4c46-9da1-3e779d5c3f34'",",","'UId':'3a1879d8-7d3e-4bde-9353-e7f22b0a9b8f'",",'Col':",COLUMN(DanhMucTaiSan_DTGTNN!E15),",'Row':",ROW(DanhMucTaiSan_DTGTNN!E15),",","'Format':'numberic'",",'Value':'",SUBSTITUTE(DanhMucTaiSan_DTGTNN!E15,"'","\'"),"','TargetCode':''}")</f>
        <v>{'SheetId':'93f0ec52-9af7-4c46-9da1-3e779d5c3f34','UId':'3a1879d8-7d3e-4bde-9353-e7f22b0a9b8f','Col':5,'Row':15,'Format':'numberic','Value':' ','TargetCode':''}</v>
      </c>
    </row>
    <row r="807" spans="1:1" x14ac:dyDescent="0.2">
      <c r="A807" t="str">
        <f>CONCATENATE("{'SheetId':'93f0ec52-9af7-4c46-9da1-3e779d5c3f34'",",","'UId':'7b58c9a5-b5a9-4d43-b5b1-1e9fb561781f'",",'Col':",COLUMN(DanhMucTaiSan_DTGTNN!F15),",'Row':",ROW(DanhMucTaiSan_DTGTNN!F15),",","'Format':'numberic'",",'Value':'",SUBSTITUTE(DanhMucTaiSan_DTGTNN!F15,"'","\'"),"','TargetCode':''}")</f>
        <v>{'SheetId':'93f0ec52-9af7-4c46-9da1-3e779d5c3f34','UId':'7b58c9a5-b5a9-4d43-b5b1-1e9fb561781f','Col':6,'Row':15,'Format':'numberic','Value':' ','TargetCode':''}</v>
      </c>
    </row>
    <row r="808" spans="1:1" x14ac:dyDescent="0.2">
      <c r="A808" t="str">
        <f>CONCATENATE("{'SheetId':'93f0ec52-9af7-4c46-9da1-3e779d5c3f34'",",","'UId':'135dc91c-b8fc-4cc8-96c1-54732aed0fa8'",",'Col':",COLUMN(DanhMucTaiSan_DTGTNN!G15),",'Row':",ROW(DanhMucTaiSan_DTGTNN!G15),",","'Format':'numberic'",",'Value':'",SUBSTITUTE(DanhMucTaiSan_DTGTNN!G15,"'","\'"),"','TargetCode':''}")</f>
        <v>{'SheetId':'93f0ec52-9af7-4c46-9da1-3e779d5c3f34','UId':'135dc91c-b8fc-4cc8-96c1-54732aed0fa8','Col':7,'Row':15,'Format':'numberic','Value':' ','TargetCode':''}</v>
      </c>
    </row>
    <row r="809" spans="1:1" x14ac:dyDescent="0.2">
      <c r="A809" t="str">
        <f>CONCATENATE("{'SheetId':'93f0ec52-9af7-4c46-9da1-3e779d5c3f34'",",","'UId':'ec1b234b-6c20-4d63-a994-cceba2aa115b'",",'Col':",COLUMN(DanhMucTaiSan_DTGTNN!H15),",'Row':",ROW(DanhMucTaiSan_DTGTNN!H15),",","'Format':'numberic'",",'Value':'",SUBSTITUTE(DanhMucTaiSan_DTGTNN!H15,"'","\'"),"','TargetCode':''}")</f>
        <v>{'SheetId':'93f0ec52-9af7-4c46-9da1-3e779d5c3f34','UId':'ec1b234b-6c20-4d63-a994-cceba2aa115b','Col':8,'Row':15,'Format':'numberic','Value':' ','TargetCode':''}</v>
      </c>
    </row>
    <row r="810" spans="1:1" x14ac:dyDescent="0.2">
      <c r="A810" t="str">
        <f>CONCATENATE("{'SheetId':'93f0ec52-9af7-4c46-9da1-3e779d5c3f34'",",","'UId':'4ef4cd5b-8e30-459f-ba6f-c70d3f87c4bf'",",'Col':",COLUMN(DanhMucTaiSan_DTGTNN!A17),",'Row':",ROW(DanhMucTaiSan_DTGTNN!A17),",","'ColDynamic':",COLUMN(DanhMucTaiSan_DTGTNN!A16),",","'RowDynamic':",ROW(DanhMucTaiSan_DTGTNN!A16),",","'Format':'string'",",'Value':'",SUBSTITUTE(DanhMucTaiSan_DTGTNN!A17,"'","\'"),"','TargetCode':''}")</f>
        <v>{'SheetId':'93f0ec52-9af7-4c46-9da1-3e779d5c3f34','UId':'4ef4cd5b-8e30-459f-ba6f-c70d3f87c4bf','Col':1,'Row':17,'ColDynamic':1,'RowDynamic':16,'Format':'string','Value':' ','TargetCode':''}</v>
      </c>
    </row>
    <row r="811" spans="1:1" x14ac:dyDescent="0.2">
      <c r="A811" t="str">
        <f>CONCATENATE("{'SheetId':'93f0ec52-9af7-4c46-9da1-3e779d5c3f34'",",","'UId':'204216e3-8f11-4d16-bb27-64755c032e49'",",'Col':",COLUMN(DanhMucTaiSan_DTGTNN!B17),",'Row':",ROW(DanhMucTaiSan_DTGTNN!B17),",","'ColDynamic':",COLUMN(DanhMucTaiSan_DTGTNN!B16),",","'RowDynamic':",ROW(DanhMucTaiSan_DTGTNN!B16),",","'Format':'string'",",'Value':'",SUBSTITUTE(DanhMucTaiSan_DTGTNN!B17,"'","\'"),"','TargetCode':''}")</f>
        <v>{'SheetId':'93f0ec52-9af7-4c46-9da1-3e779d5c3f34','UId':'204216e3-8f11-4d16-bb27-64755c032e49','Col':2,'Row':17,'ColDynamic':2,'RowDynamic':16,'Format':'string','Value':'Tổng','TargetCode':''}</v>
      </c>
    </row>
    <row r="812" spans="1:1" x14ac:dyDescent="0.2">
      <c r="A812" t="str">
        <f>CONCATENATE("{'SheetId':'93f0ec52-9af7-4c46-9da1-3e779d5c3f34'",",","'UId':'b5c98c8e-1e44-4202-94b2-a8a38d5bfaa5'",",'Col':",COLUMN(DanhMucTaiSan_DTGTNN!C17),",'Row':",ROW(DanhMucTaiSan_DTGTNN!C17),",","'ColDynamic':",COLUMN(DanhMucTaiSan_DTGTNN!C16),",","'RowDynamic':",ROW(DanhMucTaiSan_DTGTNN!C16),",","'Format':'numberic'",",'Value':'",SUBSTITUTE(DanhMucTaiSan_DTGTNN!C17,"'","\'"),"','TargetCode':''}")</f>
        <v>{'SheetId':'93f0ec52-9af7-4c46-9da1-3e779d5c3f34','UId':'b5c98c8e-1e44-4202-94b2-a8a38d5bfaa5','Col':3,'Row':17,'ColDynamic':3,'RowDynamic':16,'Format':'numberic','Value':' ','TargetCode':''}</v>
      </c>
    </row>
    <row r="813" spans="1:1" x14ac:dyDescent="0.2">
      <c r="A813" t="str">
        <f>CONCATENATE("{'SheetId':'93f0ec52-9af7-4c46-9da1-3e779d5c3f34'",",","'UId':'d1548024-af32-4999-b92f-a3010fa4e81f'",",'Col':",COLUMN(DanhMucTaiSan_DTGTNN!D17),",'Row':",ROW(DanhMucTaiSan_DTGTNN!D17),",","'ColDynamic':",COLUMN(DanhMucTaiSan_DTGTNN!D16),",","'RowDynamic':",ROW(DanhMucTaiSan_DTGTNN!D16),",","'Format':'numberic'",",'Value':'",SUBSTITUTE(DanhMucTaiSan_DTGTNN!D17,"'","\'"),"','TargetCode':''}")</f>
        <v>{'SheetId':'93f0ec52-9af7-4c46-9da1-3e779d5c3f34','UId':'d1548024-af32-4999-b92f-a3010fa4e81f','Col':4,'Row':17,'ColDynamic':4,'RowDynamic':16,'Format':'numberic','Value':' ','TargetCode':''}</v>
      </c>
    </row>
    <row r="814" spans="1:1" x14ac:dyDescent="0.2">
      <c r="A814" t="str">
        <f>CONCATENATE("{'SheetId':'93f0ec52-9af7-4c46-9da1-3e779d5c3f34'",",","'UId':'54252fc7-9365-4d94-aceb-162c640a8484'",",'Col':",COLUMN(DanhMucTaiSan_DTGTNN!E17),",'Row':",ROW(DanhMucTaiSan_DTGTNN!E17),",","'ColDynamic':",COLUMN(DanhMucTaiSan_DTGTNN!E16),",","'RowDynamic':",ROW(DanhMucTaiSan_DTGTNN!E16),",","'Format':'numberic'",",'Value':'",SUBSTITUTE(DanhMucTaiSan_DTGTNN!E17,"'","\'"),"','TargetCode':''}")</f>
        <v>{'SheetId':'93f0ec52-9af7-4c46-9da1-3e779d5c3f34','UId':'54252fc7-9365-4d94-aceb-162c640a8484','Col':5,'Row':17,'ColDynamic':5,'RowDynamic':16,'Format':'numberic','Value':' ','TargetCode':''}</v>
      </c>
    </row>
    <row r="815" spans="1:1" x14ac:dyDescent="0.2">
      <c r="A815" t="str">
        <f>CONCATENATE("{'SheetId':'93f0ec52-9af7-4c46-9da1-3e779d5c3f34'",",","'UId':'7d7d23af-69bd-4459-bf2c-4fa76b3c5e2f'",",'Col':",COLUMN(DanhMucTaiSan_DTGTNN!F17),",'Row':",ROW(DanhMucTaiSan_DTGTNN!F17),",","'ColDynamic':",COLUMN(DanhMucTaiSan_DTGTNN!F16),",","'RowDynamic':",ROW(DanhMucTaiSan_DTGTNN!F16),",","'Format':'numberic'",",'Value':'",SUBSTITUTE(DanhMucTaiSan_DTGTNN!F17,"'","\'"),"','TargetCode':''}")</f>
        <v>{'SheetId':'93f0ec52-9af7-4c46-9da1-3e779d5c3f34','UId':'7d7d23af-69bd-4459-bf2c-4fa76b3c5e2f','Col':6,'Row':17,'ColDynamic':6,'RowDynamic':16,'Format':'numberic','Value':' ','TargetCode':''}</v>
      </c>
    </row>
    <row r="816" spans="1:1" x14ac:dyDescent="0.2">
      <c r="A816" t="str">
        <f>CONCATENATE("{'SheetId':'93f0ec52-9af7-4c46-9da1-3e779d5c3f34'",",","'UId':'1aa7927e-9fa0-41e6-990a-6705e0278f8b'",",'Col':",COLUMN(DanhMucTaiSan_DTGTNN!G17),",'Row':",ROW(DanhMucTaiSan_DTGTNN!G17),",","'ColDynamic':",COLUMN(DanhMucTaiSan_DTGTNN!G16),",","'RowDynamic':",ROW(DanhMucTaiSan_DTGTNN!G16),",","'Format':'numberic'",",'Value':'",SUBSTITUTE(DanhMucTaiSan_DTGTNN!G17,"'","\'"),"','TargetCode':''}")</f>
        <v>{'SheetId':'93f0ec52-9af7-4c46-9da1-3e779d5c3f34','UId':'1aa7927e-9fa0-41e6-990a-6705e0278f8b','Col':7,'Row':17,'ColDynamic':7,'RowDynamic':16,'Format':'numberic','Value':' ','TargetCode':''}</v>
      </c>
    </row>
    <row r="817" spans="1:1" x14ac:dyDescent="0.2">
      <c r="A817" t="str">
        <f>CONCATENATE("{'SheetId':'93f0ec52-9af7-4c46-9da1-3e779d5c3f34'",",","'UId':'f00b60ab-3c08-4a3b-b155-06de1cd009f4'",",'Col':",COLUMN(DanhMucTaiSan_DTGTNN!H17),",'Row':",ROW(DanhMucTaiSan_DTGTNN!H17),",","'ColDynamic':",COLUMN(DanhMucTaiSan_DTGTNN!H16),",","'RowDynamic':",ROW(DanhMucTaiSan_DTGTNN!H16),",","'Format':'numberic'",",'Value':'",SUBSTITUTE(DanhMucTaiSan_DTGTNN!H17,"'","\'"),"','TargetCode':''}")</f>
        <v>{'SheetId':'93f0ec52-9af7-4c46-9da1-3e779d5c3f34','UId':'f00b60ab-3c08-4a3b-b155-06de1cd009f4','Col':8,'Row':17,'ColDynamic':8,'RowDynamic':16,'Format':'numberic','Value':' ','TargetCode':''}</v>
      </c>
    </row>
    <row r="818" spans="1:1" x14ac:dyDescent="0.2">
      <c r="A818" t="str">
        <f>CONCATENATE("{'SheetId':'93f0ec52-9af7-4c46-9da1-3e779d5c3f34'",",","'UId':'0ef1006e-42b2-4aa5-b68d-e50fe702565b'",",'Col':",COLUMN(DanhMucTaiSan_DTGTNN!C18),",'Row':",ROW(DanhMucTaiSan_DTGTNN!C18),",","'Format':'numberic'",",'Value':'",SUBSTITUTE(DanhMucTaiSan_DTGTNN!C18,"'","\'"),"','TargetCode':''}")</f>
        <v>{'SheetId':'93f0ec52-9af7-4c46-9da1-3e779d5c3f34','UId':'0ef1006e-42b2-4aa5-b68d-e50fe702565b','Col':3,'Row':18,'Format':'numberic','Value':' ','TargetCode':''}</v>
      </c>
    </row>
    <row r="819" spans="1:1" x14ac:dyDescent="0.2">
      <c r="A819" t="str">
        <f>CONCATENATE("{'SheetId':'93f0ec52-9af7-4c46-9da1-3e779d5c3f34'",",","'UId':'2f5c077c-49ba-49d7-9a32-55860c9de001'",",'Col':",COLUMN(DanhMucTaiSan_DTGTNN!D18),",'Row':",ROW(DanhMucTaiSan_DTGTNN!D18),",","'Format':'numberic'",",'Value':'",SUBSTITUTE(DanhMucTaiSan_DTGTNN!D18,"'","\'"),"','TargetCode':''}")</f>
        <v>{'SheetId':'93f0ec52-9af7-4c46-9da1-3e779d5c3f34','UId':'2f5c077c-49ba-49d7-9a32-55860c9de001','Col':4,'Row':18,'Format':'numberic','Value':' ','TargetCode':''}</v>
      </c>
    </row>
    <row r="820" spans="1:1" x14ac:dyDescent="0.2">
      <c r="A820" t="str">
        <f>CONCATENATE("{'SheetId':'93f0ec52-9af7-4c46-9da1-3e779d5c3f34'",",","'UId':'283edbd0-9a7f-42af-b454-497924d7f1ac'",",'Col':",COLUMN(DanhMucTaiSan_DTGTNN!E18),",'Row':",ROW(DanhMucTaiSan_DTGTNN!E18),",","'Format':'numberic'",",'Value':'",SUBSTITUTE(DanhMucTaiSan_DTGTNN!E18,"'","\'"),"','TargetCode':''}")</f>
        <v>{'SheetId':'93f0ec52-9af7-4c46-9da1-3e779d5c3f34','UId':'283edbd0-9a7f-42af-b454-497924d7f1ac','Col':5,'Row':18,'Format':'numberic','Value':' ','TargetCode':''}</v>
      </c>
    </row>
    <row r="821" spans="1:1" x14ac:dyDescent="0.2">
      <c r="A821" t="str">
        <f>CONCATENATE("{'SheetId':'93f0ec52-9af7-4c46-9da1-3e779d5c3f34'",",","'UId':'f507d9e9-8268-4215-9ae1-6ecfa26680b5'",",'Col':",COLUMN(DanhMucTaiSan_DTGTNN!F18),",'Row':",ROW(DanhMucTaiSan_DTGTNN!F18),",","'Format':'numberic'",",'Value':'",SUBSTITUTE(DanhMucTaiSan_DTGTNN!F18,"'","\'"),"','TargetCode':''}")</f>
        <v>{'SheetId':'93f0ec52-9af7-4c46-9da1-3e779d5c3f34','UId':'f507d9e9-8268-4215-9ae1-6ecfa26680b5','Col':6,'Row':18,'Format':'numberic','Value':' ','TargetCode':''}</v>
      </c>
    </row>
    <row r="822" spans="1:1" x14ac:dyDescent="0.2">
      <c r="A822" t="str">
        <f>CONCATENATE("{'SheetId':'93f0ec52-9af7-4c46-9da1-3e779d5c3f34'",",","'UId':'99390a44-eb98-4449-a85a-b43c2506d60e'",",'Col':",COLUMN(DanhMucTaiSan_DTGTNN!G18),",'Row':",ROW(DanhMucTaiSan_DTGTNN!G18),",","'Format':'numberic'",",'Value':'",SUBSTITUTE(DanhMucTaiSan_DTGTNN!G18,"'","\'"),"','TargetCode':''}")</f>
        <v>{'SheetId':'93f0ec52-9af7-4c46-9da1-3e779d5c3f34','UId':'99390a44-eb98-4449-a85a-b43c2506d60e','Col':7,'Row':18,'Format':'numberic','Value':' ','TargetCode':''}</v>
      </c>
    </row>
    <row r="823" spans="1:1" x14ac:dyDescent="0.2">
      <c r="A823" t="str">
        <f>CONCATENATE("{'SheetId':'93f0ec52-9af7-4c46-9da1-3e779d5c3f34'",",","'UId':'734cb6a3-811b-490b-b05d-beebcb01d48b'",",'Col':",COLUMN(DanhMucTaiSan_DTGTNN!H18),",'Row':",ROW(DanhMucTaiSan_DTGTNN!H18),",","'Format':'numberic'",",'Value':'",SUBSTITUTE(DanhMucTaiSan_DTGTNN!H18,"'","\'"),"','TargetCode':''}")</f>
        <v>{'SheetId':'93f0ec52-9af7-4c46-9da1-3e779d5c3f34','UId':'734cb6a3-811b-490b-b05d-beebcb01d48b','Col':8,'Row':18,'Format':'numberic','Value':' ','TargetCode':''}</v>
      </c>
    </row>
    <row r="824" spans="1:1" x14ac:dyDescent="0.2">
      <c r="A824" t="str">
        <f>CONCATENATE("{'SheetId':'93f0ec52-9af7-4c46-9da1-3e779d5c3f34'",",","'UId':'4109dd77-bbe7-42a2-b0b4-216be347d7c7'",",'Col':",COLUMN(DanhMucTaiSan_DTGTNN!A20),",'Row':",ROW(DanhMucTaiSan_DTGTNN!A20),",","'ColDynamic':",COLUMN(DanhMucTaiSan_DTGTNN!A19),",","'RowDynamic':",ROW(DanhMucTaiSan_DTGTNN!A19),",","'Format':'string'",",'Value':'",SUBSTITUTE(DanhMucTaiSan_DTGTNN!A20,"'","\'"),"','TargetCode':''}")</f>
        <v>{'SheetId':'93f0ec52-9af7-4c46-9da1-3e779d5c3f34','UId':'4109dd77-bbe7-42a2-b0b4-216be347d7c7','Col':1,'Row':20,'ColDynamic':1,'RowDynamic':19,'Format':'string','Value':' ','TargetCode':''}</v>
      </c>
    </row>
    <row r="825" spans="1:1" x14ac:dyDescent="0.2">
      <c r="A825" t="str">
        <f>CONCATENATE("{'SheetId':'93f0ec52-9af7-4c46-9da1-3e779d5c3f34'",",","'UId':'f77086af-eea4-43fd-b84d-107caadf3fac'",",'Col':",COLUMN(DanhMucTaiSan_DTGTNN!B20),",'Row':",ROW(DanhMucTaiSan_DTGTNN!B20),",","'ColDynamic':",COLUMN(DanhMucTaiSan_DTGTNN!B19),",","'RowDynamic':",ROW(DanhMucTaiSan_DTGTNN!B19),",","'Format':'string'",",'Value':'",SUBSTITUTE(DanhMucTaiSan_DTGTNN!B20,"'","\'"),"','TargetCode':''}")</f>
        <v>{'SheetId':'93f0ec52-9af7-4c46-9da1-3e779d5c3f34','UId':'f77086af-eea4-43fd-b84d-107caadf3fac','Col':2,'Row':20,'ColDynamic':2,'RowDynamic':19,'Format':'string','Value':'Tổng','TargetCode':''}</v>
      </c>
    </row>
    <row r="826" spans="1:1" x14ac:dyDescent="0.2">
      <c r="A826" t="str">
        <f>CONCATENATE("{'SheetId':'93f0ec52-9af7-4c46-9da1-3e779d5c3f34'",",","'UId':'ad72e4ca-d490-4f68-832f-76c7903f720e'",",'Col':",COLUMN(DanhMucTaiSan_DTGTNN!C20),",'Row':",ROW(DanhMucTaiSan_DTGTNN!C20),",","'ColDynamic':",COLUMN(DanhMucTaiSan_DTGTNN!C19),",","'RowDynamic':",ROW(DanhMucTaiSan_DTGTNN!C19),",","'Format':'numberic'",",'Value':'",SUBSTITUTE(DanhMucTaiSan_DTGTNN!C20,"'","\'"),"','TargetCode':''}")</f>
        <v>{'SheetId':'93f0ec52-9af7-4c46-9da1-3e779d5c3f34','UId':'ad72e4ca-d490-4f68-832f-76c7903f720e','Col':3,'Row':20,'ColDynamic':3,'RowDynamic':19,'Format':'numberic','Value':' ','TargetCode':''}</v>
      </c>
    </row>
    <row r="827" spans="1:1" x14ac:dyDescent="0.2">
      <c r="A827" t="str">
        <f>CONCATENATE("{'SheetId':'93f0ec52-9af7-4c46-9da1-3e779d5c3f34'",",","'UId':'a719fd31-5531-4c70-a17b-e78f8c6c4c34'",",'Col':",COLUMN(DanhMucTaiSan_DTGTNN!D20),",'Row':",ROW(DanhMucTaiSan_DTGTNN!D20),",","'ColDynamic':",COLUMN(DanhMucTaiSan_DTGTNN!D19),",","'RowDynamic':",ROW(DanhMucTaiSan_DTGTNN!D19),",","'Format':'numberic'",",'Value':'",SUBSTITUTE(DanhMucTaiSan_DTGTNN!D20,"'","\'"),"','TargetCode':''}")</f>
        <v>{'SheetId':'93f0ec52-9af7-4c46-9da1-3e779d5c3f34','UId':'a719fd31-5531-4c70-a17b-e78f8c6c4c34','Col':4,'Row':20,'ColDynamic':4,'RowDynamic':19,'Format':'numberic','Value':' ','TargetCode':''}</v>
      </c>
    </row>
    <row r="828" spans="1:1" x14ac:dyDescent="0.2">
      <c r="A828" t="str">
        <f>CONCATENATE("{'SheetId':'93f0ec52-9af7-4c46-9da1-3e779d5c3f34'",",","'UId':'36bdfa47-22d1-4131-927c-042e2396c511'",",'Col':",COLUMN(DanhMucTaiSan_DTGTNN!E20),",'Row':",ROW(DanhMucTaiSan_DTGTNN!E20),",","'ColDynamic':",COLUMN(DanhMucTaiSan_DTGTNN!E19),",","'RowDynamic':",ROW(DanhMucTaiSan_DTGTNN!E19),",","'Format':'numberic'",",'Value':'",SUBSTITUTE(DanhMucTaiSan_DTGTNN!E20,"'","\'"),"','TargetCode':''}")</f>
        <v>{'SheetId':'93f0ec52-9af7-4c46-9da1-3e779d5c3f34','UId':'36bdfa47-22d1-4131-927c-042e2396c511','Col':5,'Row':20,'ColDynamic':5,'RowDynamic':19,'Format':'numberic','Value':' ','TargetCode':''}</v>
      </c>
    </row>
    <row r="829" spans="1:1" x14ac:dyDescent="0.2">
      <c r="A829" t="str">
        <f>CONCATENATE("{'SheetId':'93f0ec52-9af7-4c46-9da1-3e779d5c3f34'",",","'UId':'b8026997-3a21-4c2a-a3e1-6f83718966ab'",",'Col':",COLUMN(DanhMucTaiSan_DTGTNN!F20),",'Row':",ROW(DanhMucTaiSan_DTGTNN!F20),",","'ColDynamic':",COLUMN(DanhMucTaiSan_DTGTNN!F19),",","'RowDynamic':",ROW(DanhMucTaiSan_DTGTNN!F19),",","'Format':'numberic'",",'Value':'",SUBSTITUTE(DanhMucTaiSan_DTGTNN!F20,"'","\'"),"','TargetCode':''}")</f>
        <v>{'SheetId':'93f0ec52-9af7-4c46-9da1-3e779d5c3f34','UId':'b8026997-3a21-4c2a-a3e1-6f83718966ab','Col':6,'Row':20,'ColDynamic':6,'RowDynamic':19,'Format':'numberic','Value':' ','TargetCode':''}</v>
      </c>
    </row>
    <row r="830" spans="1:1" x14ac:dyDescent="0.2">
      <c r="A830" t="str">
        <f>CONCATENATE("{'SheetId':'93f0ec52-9af7-4c46-9da1-3e779d5c3f34'",",","'UId':'6dc29f89-2b6a-4df6-b58d-2600c5cc602f'",",'Col':",COLUMN(DanhMucTaiSan_DTGTNN!G20),",'Row':",ROW(DanhMucTaiSan_DTGTNN!G20),",","'ColDynamic':",COLUMN(DanhMucTaiSan_DTGTNN!G19),",","'RowDynamic':",ROW(DanhMucTaiSan_DTGTNN!G19),",","'Format':'numberic'",",'Value':'",SUBSTITUTE(DanhMucTaiSan_DTGTNN!G20,"'","\'"),"','TargetCode':''}")</f>
        <v>{'SheetId':'93f0ec52-9af7-4c46-9da1-3e779d5c3f34','UId':'6dc29f89-2b6a-4df6-b58d-2600c5cc602f','Col':7,'Row':20,'ColDynamic':7,'RowDynamic':19,'Format':'numberic','Value':' ','TargetCode':''}</v>
      </c>
    </row>
    <row r="831" spans="1:1" x14ac:dyDescent="0.2">
      <c r="A831" t="str">
        <f>CONCATENATE("{'SheetId':'93f0ec52-9af7-4c46-9da1-3e779d5c3f34'",",","'UId':'daec6e0b-c0d9-44b1-b880-e453c579dc3a'",",'Col':",COLUMN(DanhMucTaiSan_DTGTNN!H20),",'Row':",ROW(DanhMucTaiSan_DTGTNN!H20),",","'ColDynamic':",COLUMN(DanhMucTaiSan_DTGTNN!H19),",","'RowDynamic':",ROW(DanhMucTaiSan_DTGTNN!H19),",","'Format':'numberic'",",'Value':'",SUBSTITUTE(DanhMucTaiSan_DTGTNN!H20,"'","\'"),"','TargetCode':''}")</f>
        <v>{'SheetId':'93f0ec52-9af7-4c46-9da1-3e779d5c3f34','UId':'daec6e0b-c0d9-44b1-b880-e453c579dc3a','Col':8,'Row':20,'ColDynamic':8,'RowDynamic':19,'Format':'numberic','Value':' ','TargetCode':''}</v>
      </c>
    </row>
    <row r="832" spans="1:1" x14ac:dyDescent="0.2">
      <c r="A832" t="str">
        <f>CONCATENATE("{'SheetId':'93f0ec52-9af7-4c46-9da1-3e779d5c3f34'",",","'UId':'ae110b6b-abf6-4dab-862e-01a054514ab0'",",'Col':",COLUMN(DanhMucTaiSan_DTGTNN!C21),",'Row':",ROW(DanhMucTaiSan_DTGTNN!C21),",","'Format':'numberic'",",'Value':'",SUBSTITUTE(DanhMucTaiSan_DTGTNN!C21,"'","\'"),"','TargetCode':''}")</f>
        <v>{'SheetId':'93f0ec52-9af7-4c46-9da1-3e779d5c3f34','UId':'ae110b6b-abf6-4dab-862e-01a054514ab0','Col':3,'Row':21,'Format':'numberic','Value':' ','TargetCode':''}</v>
      </c>
    </row>
    <row r="833" spans="1:1" x14ac:dyDescent="0.2">
      <c r="A833" t="str">
        <f>CONCATENATE("{'SheetId':'93f0ec52-9af7-4c46-9da1-3e779d5c3f34'",",","'UId':'80792739-b3e1-4d32-a46e-6cd273caf565'",",'Col':",COLUMN(DanhMucTaiSan_DTGTNN!D21),",'Row':",ROW(DanhMucTaiSan_DTGTNN!D21),",","'Format':'numberic'",",'Value':'",SUBSTITUTE(DanhMucTaiSan_DTGTNN!D21,"'","\'"),"','TargetCode':''}")</f>
        <v>{'SheetId':'93f0ec52-9af7-4c46-9da1-3e779d5c3f34','UId':'80792739-b3e1-4d32-a46e-6cd273caf565','Col':4,'Row':21,'Format':'numberic','Value':' ','TargetCode':''}</v>
      </c>
    </row>
    <row r="834" spans="1:1" x14ac:dyDescent="0.2">
      <c r="A834" t="str">
        <f>CONCATENATE("{'SheetId':'93f0ec52-9af7-4c46-9da1-3e779d5c3f34'",",","'UId':'f2d7c763-13cd-42b5-97fa-5c1de27b76a7'",",'Col':",COLUMN(DanhMucTaiSan_DTGTNN!E21),",'Row':",ROW(DanhMucTaiSan_DTGTNN!E21),",","'Format':'numberic'",",'Value':'",SUBSTITUTE(DanhMucTaiSan_DTGTNN!E21,"'","\'"),"','TargetCode':''}")</f>
        <v>{'SheetId':'93f0ec52-9af7-4c46-9da1-3e779d5c3f34','UId':'f2d7c763-13cd-42b5-97fa-5c1de27b76a7','Col':5,'Row':21,'Format':'numberic','Value':' ','TargetCode':''}</v>
      </c>
    </row>
    <row r="835" spans="1:1" x14ac:dyDescent="0.2">
      <c r="A835" t="str">
        <f>CONCATENATE("{'SheetId':'93f0ec52-9af7-4c46-9da1-3e779d5c3f34'",",","'UId':'8545d6b3-26ab-4145-8923-df6c0b2c06a8'",",'Col':",COLUMN(DanhMucTaiSan_DTGTNN!F21),",'Row':",ROW(DanhMucTaiSan_DTGTNN!F21),",","'Format':'numberic'",",'Value':'",SUBSTITUTE(DanhMucTaiSan_DTGTNN!F21,"'","\'"),"','TargetCode':''}")</f>
        <v>{'SheetId':'93f0ec52-9af7-4c46-9da1-3e779d5c3f34','UId':'8545d6b3-26ab-4145-8923-df6c0b2c06a8','Col':6,'Row':21,'Format':'numberic','Value':' ','TargetCode':''}</v>
      </c>
    </row>
    <row r="836" spans="1:1" x14ac:dyDescent="0.2">
      <c r="A836" t="str">
        <f>CONCATENATE("{'SheetId':'93f0ec52-9af7-4c46-9da1-3e779d5c3f34'",",","'UId':'26a9e5dc-4239-4227-bf5f-c2575d9170aa'",",'Col':",COLUMN(DanhMucTaiSan_DTGTNN!G21),",'Row':",ROW(DanhMucTaiSan_DTGTNN!G21),",","'Format':'numberic'",",'Value':'",SUBSTITUTE(DanhMucTaiSan_DTGTNN!G21,"'","\'"),"','TargetCode':''}")</f>
        <v>{'SheetId':'93f0ec52-9af7-4c46-9da1-3e779d5c3f34','UId':'26a9e5dc-4239-4227-bf5f-c2575d9170aa','Col':7,'Row':21,'Format':'numberic','Value':' ','TargetCode':''}</v>
      </c>
    </row>
    <row r="837" spans="1:1" x14ac:dyDescent="0.2">
      <c r="A837" t="str">
        <f>CONCATENATE("{'SheetId':'93f0ec52-9af7-4c46-9da1-3e779d5c3f34'",",","'UId':'47f1ccbe-6bc9-46e2-9e93-c389a6a0e1f0'",",'Col':",COLUMN(DanhMucTaiSan_DTGTNN!H21),",'Row':",ROW(DanhMucTaiSan_DTGTNN!H21),",","'Format':'numberic'",",'Value':'",SUBSTITUTE(DanhMucTaiSan_DTGTNN!H21,"'","\'"),"','TargetCode':''}")</f>
        <v>{'SheetId':'93f0ec52-9af7-4c46-9da1-3e779d5c3f34','UId':'47f1ccbe-6bc9-46e2-9e93-c389a6a0e1f0','Col':8,'Row':21,'Format':'numberic','Value':' ','TargetCode':''}</v>
      </c>
    </row>
    <row r="838" spans="1:1" x14ac:dyDescent="0.2">
      <c r="A838" t="str">
        <f>CONCATENATE("{'SheetId':'8398c2dc-c1c3-4084-b97b-b58610029d5f'",",","'UId':'ac1dbf46-f8c1-4c7f-86a6-14f11c3af62a'",",'Col':",COLUMN(PhanHoiNHGS_06276!A3),",'Row':",ROW(PhanHoiNHGS_06276!A3),",","'ColDynamic':",COLUMN(PhanHoiNHGS_06276!A2),",","'RowDynamic':",ROW(PhanHoiNHGS_06276!A2),",","'Format':'numberic'",",'Value':'",SUBSTITUTE(PhanHoiNHGS_06276!A3,"'","\'"),"','TargetCode':''}")</f>
        <v>{'SheetId':'8398c2dc-c1c3-4084-b97b-b58610029d5f','UId':'ac1dbf46-f8c1-4c7f-86a6-14f11c3af62a','Col':1,'Row':3,'ColDynamic':1,'RowDynamic':2,'Format':'numberic','Value':'','TargetCode':''}</v>
      </c>
    </row>
    <row r="839" spans="1:1" x14ac:dyDescent="0.2">
      <c r="A839" t="str">
        <f>CONCATENATE("{'SheetId':'8398c2dc-c1c3-4084-b97b-b58610029d5f'",",","'UId':'0b63dd88-1549-415e-8581-fc63a8c9770d'",",'Col':",COLUMN(PhanHoiNHGS_06276!B3),",'Row':",ROW(PhanHoiNHGS_06276!B3),",","'ColDynamic':",COLUMN(PhanHoiNHGS_06276!B2),",","'RowDynamic':",ROW(PhanHoiNHGS_06276!B2),",","'Format':'string'",",'Value':'",SUBSTITUTE(PhanHoiNHGS_06276!B3,"'","\'"),"','TargetCode':''}")</f>
        <v>{'SheetId':'8398c2dc-c1c3-4084-b97b-b58610029d5f','UId':'0b63dd88-1549-415e-8581-fc63a8c9770d','Col':2,'Row':3,'ColDynamic':2,'RowDynamic':2,'Format':'string','Value':'','TargetCode':''}</v>
      </c>
    </row>
    <row r="840" spans="1:1" x14ac:dyDescent="0.2">
      <c r="A840" t="str">
        <f>CONCATENATE("{'SheetId':'8398c2dc-c1c3-4084-b97b-b58610029d5f'",",","'UId':'844a4c19-b023-4fad-8d2f-e1e08eedb698'",",'Col':",COLUMN(PhanHoiNHGS_06276!C3),",'Row':",ROW(PhanHoiNHGS_06276!C3),",","'ColDynamic':",COLUMN(PhanHoiNHGS_06276!C2),",","'RowDynamic':",ROW(PhanHoiNHGS_06276!C2),",","'Format':'string'",",'Value':'",SUBSTITUTE(PhanHoiNHGS_06276!C3,"'","\'"),"','TargetCode':''}")</f>
        <v>{'SheetId':'8398c2dc-c1c3-4084-b97b-b58610029d5f','UId':'844a4c19-b023-4fad-8d2f-e1e08eedb698','Col':3,'Row':3,'ColDynamic':3,'RowDynamic':2,'Format':'string','Value':'','TargetCode':''}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I43"/>
  <sheetViews>
    <sheetView view="pageBreakPreview" topLeftCell="A16" zoomScaleNormal="100" zoomScaleSheetLayoutView="100" workbookViewId="0">
      <selection activeCell="D34" sqref="D34:E34"/>
    </sheetView>
  </sheetViews>
  <sheetFormatPr defaultRowHeight="12.75" x14ac:dyDescent="0.2"/>
  <cols>
    <col min="1" max="1" width="6.85546875" customWidth="1"/>
    <col min="2" max="2" width="52.85546875" customWidth="1"/>
    <col min="3" max="3" width="10.28515625" customWidth="1"/>
    <col min="4" max="6" width="20.42578125" customWidth="1"/>
    <col min="9" max="9" width="11.28515625" bestFit="1" customWidth="1"/>
  </cols>
  <sheetData>
    <row r="1" spans="1:9" ht="15" customHeight="1" x14ac:dyDescent="0.2">
      <c r="A1" s="12" t="s">
        <v>55</v>
      </c>
      <c r="B1" s="12" t="s">
        <v>56</v>
      </c>
      <c r="C1" s="12" t="s">
        <v>57</v>
      </c>
      <c r="D1" s="12" t="s">
        <v>58</v>
      </c>
      <c r="E1" s="12" t="s">
        <v>59</v>
      </c>
      <c r="F1" s="12" t="s">
        <v>60</v>
      </c>
    </row>
    <row r="2" spans="1:9" ht="15" customHeight="1" x14ac:dyDescent="0.25">
      <c r="A2" s="10" t="s">
        <v>61</v>
      </c>
      <c r="B2" s="10" t="s">
        <v>62</v>
      </c>
      <c r="C2" s="10" t="s">
        <v>63</v>
      </c>
      <c r="D2" s="10"/>
      <c r="E2" s="10"/>
      <c r="F2" s="10"/>
    </row>
    <row r="3" spans="1:9" ht="15" customHeight="1" x14ac:dyDescent="0.25">
      <c r="A3" s="5" t="s">
        <v>64</v>
      </c>
      <c r="B3" s="5" t="s">
        <v>65</v>
      </c>
      <c r="C3" s="5" t="s">
        <v>66</v>
      </c>
      <c r="D3" s="22">
        <v>78120916</v>
      </c>
      <c r="E3" s="22">
        <v>125905994</v>
      </c>
      <c r="F3" s="13">
        <v>0</v>
      </c>
      <c r="I3" s="44"/>
    </row>
    <row r="4" spans="1:9" ht="15" customHeight="1" x14ac:dyDescent="0.25">
      <c r="A4" s="5" t="s">
        <v>1</v>
      </c>
      <c r="B4" s="5" t="s">
        <v>67</v>
      </c>
      <c r="C4" s="5" t="s">
        <v>68</v>
      </c>
      <c r="D4" s="5"/>
      <c r="E4" s="5"/>
      <c r="F4" s="14" t="s">
        <v>1</v>
      </c>
      <c r="I4" s="44"/>
    </row>
    <row r="5" spans="1:9" ht="15" customHeight="1" x14ac:dyDescent="0.25">
      <c r="A5" s="5" t="s">
        <v>69</v>
      </c>
      <c r="B5" s="5" t="s">
        <v>69</v>
      </c>
      <c r="C5" s="5" t="s">
        <v>69</v>
      </c>
      <c r="D5" s="5" t="s">
        <v>69</v>
      </c>
      <c r="E5" s="5" t="s">
        <v>69</v>
      </c>
      <c r="F5" s="13" t="s">
        <v>69</v>
      </c>
      <c r="I5" s="44"/>
    </row>
    <row r="6" spans="1:9" ht="15" customHeight="1" x14ac:dyDescent="0.25">
      <c r="A6" s="5" t="s">
        <v>1</v>
      </c>
      <c r="B6" s="5" t="s">
        <v>70</v>
      </c>
      <c r="C6" s="5" t="s">
        <v>71</v>
      </c>
      <c r="D6" s="22">
        <v>78120916</v>
      </c>
      <c r="E6" s="22">
        <v>125905994</v>
      </c>
      <c r="F6" s="13">
        <v>0</v>
      </c>
      <c r="I6" s="44"/>
    </row>
    <row r="7" spans="1:9" ht="15" customHeight="1" x14ac:dyDescent="0.25">
      <c r="A7" s="5" t="s">
        <v>69</v>
      </c>
      <c r="B7" s="5" t="s">
        <v>69</v>
      </c>
      <c r="C7" s="5" t="s">
        <v>69</v>
      </c>
      <c r="D7" s="5" t="s">
        <v>69</v>
      </c>
      <c r="E7" s="5" t="s">
        <v>69</v>
      </c>
      <c r="F7" s="13" t="s">
        <v>69</v>
      </c>
      <c r="I7" s="44"/>
    </row>
    <row r="8" spans="1:9" ht="15" customHeight="1" x14ac:dyDescent="0.25">
      <c r="A8" s="5" t="s">
        <v>1</v>
      </c>
      <c r="B8" s="15" t="s">
        <v>343</v>
      </c>
      <c r="C8" s="5">
        <v>2204</v>
      </c>
      <c r="D8" s="22"/>
      <c r="E8" s="31"/>
      <c r="F8" s="13">
        <v>0</v>
      </c>
      <c r="I8" s="44"/>
    </row>
    <row r="9" spans="1:9" ht="15" customHeight="1" x14ac:dyDescent="0.25">
      <c r="A9" s="5" t="s">
        <v>72</v>
      </c>
      <c r="B9" s="5" t="s">
        <v>73</v>
      </c>
      <c r="C9" s="5" t="s">
        <v>74</v>
      </c>
      <c r="D9" s="22">
        <v>68574628750</v>
      </c>
      <c r="E9" s="22">
        <v>68728618300</v>
      </c>
      <c r="F9" s="13">
        <v>0</v>
      </c>
      <c r="I9" s="44"/>
    </row>
    <row r="10" spans="1:9" ht="15" customHeight="1" x14ac:dyDescent="0.25">
      <c r="A10" s="5" t="s">
        <v>69</v>
      </c>
      <c r="B10" s="5" t="s">
        <v>69</v>
      </c>
      <c r="C10" s="5" t="s">
        <v>69</v>
      </c>
      <c r="D10" s="5" t="s">
        <v>69</v>
      </c>
      <c r="E10" s="5" t="s">
        <v>69</v>
      </c>
      <c r="F10" s="13" t="s">
        <v>69</v>
      </c>
      <c r="I10" s="44"/>
    </row>
    <row r="11" spans="1:9" ht="15" customHeight="1" x14ac:dyDescent="0.25">
      <c r="A11" s="5"/>
      <c r="B11" s="5"/>
      <c r="C11" s="5"/>
      <c r="D11" s="5"/>
      <c r="E11" s="5"/>
      <c r="F11" s="13"/>
      <c r="I11" s="44"/>
    </row>
    <row r="12" spans="1:9" ht="15" customHeight="1" x14ac:dyDescent="0.25">
      <c r="A12" s="5" t="s">
        <v>75</v>
      </c>
      <c r="B12" s="5" t="s">
        <v>76</v>
      </c>
      <c r="C12" s="5" t="s">
        <v>77</v>
      </c>
      <c r="D12" s="5"/>
      <c r="E12" s="5"/>
      <c r="F12" s="14"/>
      <c r="I12" s="44"/>
    </row>
    <row r="13" spans="1:9" ht="15" customHeight="1" x14ac:dyDescent="0.25">
      <c r="A13" s="5" t="s">
        <v>69</v>
      </c>
      <c r="B13" s="5" t="s">
        <v>69</v>
      </c>
      <c r="C13" s="5" t="s">
        <v>69</v>
      </c>
      <c r="D13" s="5" t="s">
        <v>69</v>
      </c>
      <c r="E13" s="5" t="s">
        <v>69</v>
      </c>
      <c r="F13" s="13" t="s">
        <v>69</v>
      </c>
      <c r="I13" s="44"/>
    </row>
    <row r="14" spans="1:9" ht="15" customHeight="1" x14ac:dyDescent="0.25">
      <c r="A14" s="5" t="s">
        <v>78</v>
      </c>
      <c r="B14" s="5" t="s">
        <v>79</v>
      </c>
      <c r="C14" s="5" t="s">
        <v>80</v>
      </c>
      <c r="D14" s="22">
        <v>36500000</v>
      </c>
      <c r="E14" s="22"/>
      <c r="F14" s="14">
        <v>0</v>
      </c>
      <c r="I14" s="44"/>
    </row>
    <row r="15" spans="1:9" ht="15" customHeight="1" x14ac:dyDescent="0.25">
      <c r="A15" s="5" t="s">
        <v>69</v>
      </c>
      <c r="B15" s="5" t="s">
        <v>69</v>
      </c>
      <c r="C15" s="5" t="s">
        <v>69</v>
      </c>
      <c r="D15" s="5" t="s">
        <v>69</v>
      </c>
      <c r="E15" s="5" t="s">
        <v>69</v>
      </c>
      <c r="F15" s="13" t="s">
        <v>69</v>
      </c>
      <c r="I15" s="44"/>
    </row>
    <row r="16" spans="1:9" ht="15" customHeight="1" x14ac:dyDescent="0.25">
      <c r="A16" s="5"/>
      <c r="B16" s="5"/>
      <c r="C16" s="5"/>
      <c r="D16" s="5"/>
      <c r="E16" s="5"/>
      <c r="F16" s="13"/>
      <c r="I16" s="44"/>
    </row>
    <row r="17" spans="1:9" ht="15" customHeight="1" x14ac:dyDescent="0.25">
      <c r="A17" s="5" t="s">
        <v>81</v>
      </c>
      <c r="B17" s="5" t="s">
        <v>82</v>
      </c>
      <c r="C17" s="5" t="s">
        <v>83</v>
      </c>
      <c r="D17" s="5"/>
      <c r="E17" s="5"/>
      <c r="F17" s="14">
        <v>0</v>
      </c>
      <c r="I17" s="44"/>
    </row>
    <row r="18" spans="1:9" ht="15" customHeight="1" x14ac:dyDescent="0.25">
      <c r="A18" s="5" t="s">
        <v>69</v>
      </c>
      <c r="B18" s="5" t="s">
        <v>69</v>
      </c>
      <c r="C18" s="5" t="s">
        <v>69</v>
      </c>
      <c r="D18" s="5" t="s">
        <v>69</v>
      </c>
      <c r="E18" s="5" t="s">
        <v>69</v>
      </c>
      <c r="F18" s="13" t="s">
        <v>69</v>
      </c>
      <c r="I18" s="44"/>
    </row>
    <row r="19" spans="1:9" ht="15" customHeight="1" x14ac:dyDescent="0.25">
      <c r="A19" s="5"/>
      <c r="B19" s="5"/>
      <c r="C19" s="5"/>
      <c r="D19" s="5"/>
      <c r="E19" s="5"/>
      <c r="F19" s="13"/>
      <c r="I19" s="44"/>
    </row>
    <row r="20" spans="1:9" ht="15" customHeight="1" x14ac:dyDescent="0.25">
      <c r="A20" s="5" t="s">
        <v>84</v>
      </c>
      <c r="B20" s="5" t="s">
        <v>85</v>
      </c>
      <c r="C20" s="5" t="s">
        <v>86</v>
      </c>
      <c r="D20" s="5"/>
      <c r="E20" s="5"/>
      <c r="F20" s="14">
        <v>0</v>
      </c>
      <c r="I20" s="44"/>
    </row>
    <row r="21" spans="1:9" ht="15" customHeight="1" x14ac:dyDescent="0.25">
      <c r="A21" s="5" t="s">
        <v>69</v>
      </c>
      <c r="B21" s="5" t="s">
        <v>69</v>
      </c>
      <c r="C21" s="5" t="s">
        <v>69</v>
      </c>
      <c r="D21" s="5" t="s">
        <v>69</v>
      </c>
      <c r="E21" s="5" t="s">
        <v>69</v>
      </c>
      <c r="F21" s="13" t="s">
        <v>69</v>
      </c>
      <c r="I21" s="44"/>
    </row>
    <row r="22" spans="1:9" ht="15" customHeight="1" x14ac:dyDescent="0.25">
      <c r="A22" s="5" t="s">
        <v>87</v>
      </c>
      <c r="B22" s="5" t="s">
        <v>88</v>
      </c>
      <c r="C22" s="5" t="s">
        <v>89</v>
      </c>
      <c r="D22" s="5"/>
      <c r="E22" s="22"/>
      <c r="F22" s="14">
        <v>0</v>
      </c>
      <c r="I22" s="44"/>
    </row>
    <row r="23" spans="1:9" ht="15" customHeight="1" x14ac:dyDescent="0.25">
      <c r="A23" s="5" t="s">
        <v>69</v>
      </c>
      <c r="B23" s="5" t="s">
        <v>69</v>
      </c>
      <c r="C23" s="5" t="s">
        <v>69</v>
      </c>
      <c r="D23" s="5" t="s">
        <v>69</v>
      </c>
      <c r="E23" s="5" t="s">
        <v>69</v>
      </c>
      <c r="F23" s="13" t="s">
        <v>69</v>
      </c>
      <c r="I23" s="44"/>
    </row>
    <row r="24" spans="1:9" ht="15" customHeight="1" x14ac:dyDescent="0.25">
      <c r="A24" s="5" t="s">
        <v>90</v>
      </c>
      <c r="B24" s="5" t="s">
        <v>91</v>
      </c>
      <c r="C24" s="5" t="s">
        <v>92</v>
      </c>
      <c r="D24" s="22"/>
      <c r="E24" s="5"/>
      <c r="F24" s="14">
        <v>0</v>
      </c>
      <c r="I24" s="44"/>
    </row>
    <row r="25" spans="1:9" ht="15" customHeight="1" x14ac:dyDescent="0.25">
      <c r="A25" s="5" t="s">
        <v>69</v>
      </c>
      <c r="B25" s="5" t="s">
        <v>69</v>
      </c>
      <c r="C25" s="5" t="s">
        <v>69</v>
      </c>
      <c r="D25" s="5" t="s">
        <v>69</v>
      </c>
      <c r="E25" s="5" t="s">
        <v>69</v>
      </c>
      <c r="F25" s="13" t="s">
        <v>69</v>
      </c>
      <c r="I25" s="44"/>
    </row>
    <row r="26" spans="1:9" ht="15" customHeight="1" x14ac:dyDescent="0.25">
      <c r="A26" s="5"/>
      <c r="B26" s="5"/>
      <c r="C26" s="5"/>
      <c r="D26" s="5"/>
      <c r="E26" s="5"/>
      <c r="F26" s="13"/>
      <c r="I26" s="44"/>
    </row>
    <row r="27" spans="1:9" ht="15" customHeight="1" x14ac:dyDescent="0.25">
      <c r="A27" s="5" t="s">
        <v>93</v>
      </c>
      <c r="B27" s="5" t="s">
        <v>94</v>
      </c>
      <c r="C27" s="5" t="s">
        <v>95</v>
      </c>
      <c r="D27" s="22">
        <v>27665751</v>
      </c>
      <c r="E27" s="22">
        <v>30197259</v>
      </c>
      <c r="F27" s="13">
        <v>0</v>
      </c>
      <c r="I27" s="44"/>
    </row>
    <row r="28" spans="1:9" ht="15" customHeight="1" x14ac:dyDescent="0.25">
      <c r="A28" s="5" t="s">
        <v>69</v>
      </c>
      <c r="B28" s="5" t="s">
        <v>69</v>
      </c>
      <c r="C28" s="5" t="s">
        <v>69</v>
      </c>
      <c r="D28" s="5" t="s">
        <v>69</v>
      </c>
      <c r="E28" s="5" t="s">
        <v>69</v>
      </c>
      <c r="F28" s="13" t="s">
        <v>69</v>
      </c>
      <c r="I28" s="44"/>
    </row>
    <row r="29" spans="1:9" ht="15" customHeight="1" x14ac:dyDescent="0.25">
      <c r="A29" s="5"/>
      <c r="B29" s="5"/>
      <c r="C29" s="5"/>
      <c r="D29" s="5"/>
      <c r="E29" s="5"/>
      <c r="F29" s="13"/>
      <c r="I29" s="44"/>
    </row>
    <row r="30" spans="1:9" ht="15" customHeight="1" x14ac:dyDescent="0.25">
      <c r="A30" s="5" t="s">
        <v>96</v>
      </c>
      <c r="B30" s="5" t="s">
        <v>97</v>
      </c>
      <c r="C30" s="5" t="s">
        <v>98</v>
      </c>
      <c r="D30" s="22">
        <v>68716915417</v>
      </c>
      <c r="E30" s="22">
        <v>68884721553</v>
      </c>
      <c r="F30" s="13">
        <v>0</v>
      </c>
      <c r="I30" s="44"/>
    </row>
    <row r="31" spans="1:9" ht="15" customHeight="1" x14ac:dyDescent="0.25">
      <c r="A31" s="10" t="s">
        <v>99</v>
      </c>
      <c r="B31" s="10" t="s">
        <v>100</v>
      </c>
      <c r="C31" s="10" t="s">
        <v>101</v>
      </c>
      <c r="D31" s="10"/>
      <c r="E31" s="10"/>
      <c r="F31" s="13"/>
      <c r="I31" s="44"/>
    </row>
    <row r="32" spans="1:9" ht="15" customHeight="1" x14ac:dyDescent="0.25">
      <c r="A32" s="5" t="s">
        <v>102</v>
      </c>
      <c r="B32" s="5" t="s">
        <v>103</v>
      </c>
      <c r="C32" s="5" t="s">
        <v>104</v>
      </c>
      <c r="D32" s="5"/>
      <c r="E32" s="5"/>
      <c r="F32" s="14"/>
      <c r="I32" s="44"/>
    </row>
    <row r="33" spans="1:9" ht="15" customHeight="1" x14ac:dyDescent="0.25">
      <c r="A33" s="5" t="s">
        <v>69</v>
      </c>
      <c r="B33" s="5" t="s">
        <v>69</v>
      </c>
      <c r="C33" s="5" t="s">
        <v>69</v>
      </c>
      <c r="D33" s="5" t="s">
        <v>69</v>
      </c>
      <c r="E33" s="5" t="s">
        <v>69</v>
      </c>
      <c r="F33" s="13" t="s">
        <v>69</v>
      </c>
      <c r="I33" s="44"/>
    </row>
    <row r="34" spans="1:9" ht="15" customHeight="1" x14ac:dyDescent="0.25">
      <c r="A34" s="5" t="s">
        <v>105</v>
      </c>
      <c r="B34" s="5" t="s">
        <v>106</v>
      </c>
      <c r="C34" s="5" t="s">
        <v>107</v>
      </c>
      <c r="D34" s="22"/>
      <c r="E34" s="22"/>
      <c r="F34" s="13">
        <v>0</v>
      </c>
      <c r="I34" s="44"/>
    </row>
    <row r="35" spans="1:9" ht="15" customHeight="1" x14ac:dyDescent="0.25">
      <c r="A35" s="5" t="s">
        <v>69</v>
      </c>
      <c r="B35" s="5" t="s">
        <v>69</v>
      </c>
      <c r="C35" s="5" t="s">
        <v>69</v>
      </c>
      <c r="D35" s="5" t="s">
        <v>69</v>
      </c>
      <c r="E35" s="5" t="s">
        <v>69</v>
      </c>
      <c r="F35" s="13" t="s">
        <v>69</v>
      </c>
      <c r="I35" s="44"/>
    </row>
    <row r="36" spans="1:9" ht="15" customHeight="1" x14ac:dyDescent="0.25">
      <c r="A36" s="5" t="s">
        <v>108</v>
      </c>
      <c r="B36" s="5" t="s">
        <v>109</v>
      </c>
      <c r="C36" s="5" t="s">
        <v>110</v>
      </c>
      <c r="D36" s="22">
        <v>203285883</v>
      </c>
      <c r="E36" s="22">
        <v>139021299</v>
      </c>
      <c r="F36" s="13">
        <v>0</v>
      </c>
      <c r="I36" s="44"/>
    </row>
    <row r="37" spans="1:9" ht="15" customHeight="1" x14ac:dyDescent="0.25">
      <c r="A37" s="5" t="s">
        <v>69</v>
      </c>
      <c r="B37" s="5" t="s">
        <v>69</v>
      </c>
      <c r="C37" s="5" t="s">
        <v>69</v>
      </c>
      <c r="D37" s="5" t="s">
        <v>69</v>
      </c>
      <c r="E37" s="5" t="s">
        <v>69</v>
      </c>
      <c r="F37" s="13" t="s">
        <v>69</v>
      </c>
      <c r="I37" s="44"/>
    </row>
    <row r="38" spans="1:9" ht="15" customHeight="1" x14ac:dyDescent="0.25">
      <c r="A38" s="5"/>
      <c r="B38" s="5"/>
      <c r="C38" s="5"/>
      <c r="D38" s="5"/>
      <c r="E38" s="5"/>
      <c r="F38" s="13"/>
      <c r="I38" s="44"/>
    </row>
    <row r="39" spans="1:9" ht="15" customHeight="1" x14ac:dyDescent="0.25">
      <c r="A39" s="5" t="s">
        <v>111</v>
      </c>
      <c r="B39" s="5" t="s">
        <v>112</v>
      </c>
      <c r="C39" s="5" t="s">
        <v>113</v>
      </c>
      <c r="D39" s="22">
        <v>203285883</v>
      </c>
      <c r="E39" s="22">
        <v>139021299</v>
      </c>
      <c r="F39" s="13">
        <v>0</v>
      </c>
      <c r="I39" s="44"/>
    </row>
    <row r="40" spans="1:9" ht="15" customHeight="1" x14ac:dyDescent="0.25">
      <c r="A40" s="10" t="s">
        <v>114</v>
      </c>
      <c r="B40" s="10" t="s">
        <v>115</v>
      </c>
      <c r="C40" s="10" t="s">
        <v>116</v>
      </c>
      <c r="D40" s="23">
        <v>68513629534</v>
      </c>
      <c r="E40" s="23">
        <v>68745700254</v>
      </c>
      <c r="F40" s="41">
        <v>0</v>
      </c>
      <c r="I40" s="44"/>
    </row>
    <row r="41" spans="1:9" ht="15" customHeight="1" x14ac:dyDescent="0.25">
      <c r="A41" s="10" t="s">
        <v>117</v>
      </c>
      <c r="B41" s="10" t="s">
        <v>118</v>
      </c>
      <c r="C41" s="10" t="s">
        <v>119</v>
      </c>
      <c r="D41" s="23">
        <v>5600000</v>
      </c>
      <c r="E41" s="23">
        <v>5600000</v>
      </c>
      <c r="F41" s="41">
        <v>0</v>
      </c>
      <c r="I41" s="44"/>
    </row>
    <row r="42" spans="1:9" ht="15" customHeight="1" x14ac:dyDescent="0.25">
      <c r="A42" s="10" t="s">
        <v>120</v>
      </c>
      <c r="B42" s="10" t="s">
        <v>121</v>
      </c>
      <c r="C42" s="10" t="s">
        <v>122</v>
      </c>
      <c r="D42" s="43">
        <v>12234.57</v>
      </c>
      <c r="E42" s="43">
        <v>12276.01</v>
      </c>
      <c r="F42" s="41">
        <v>0</v>
      </c>
      <c r="I42" s="44"/>
    </row>
    <row r="43" spans="1:9" ht="15" customHeight="1" x14ac:dyDescent="0.25">
      <c r="A43" s="16" t="s">
        <v>1</v>
      </c>
      <c r="B43" s="16" t="s">
        <v>1</v>
      </c>
      <c r="C43" s="16" t="s">
        <v>1</v>
      </c>
      <c r="D43" s="16" t="s">
        <v>1</v>
      </c>
      <c r="E43" s="16"/>
      <c r="F43" s="16" t="s">
        <v>1</v>
      </c>
    </row>
  </sheetData>
  <pageMargins left="0.75" right="0.75" top="1" bottom="1" header="0.5" footer="0.5"/>
  <pageSetup scale="6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I48"/>
  <sheetViews>
    <sheetView tabSelected="1" view="pageBreakPreview" topLeftCell="A13" zoomScale="85" zoomScaleNormal="115" zoomScaleSheetLayoutView="85" workbookViewId="0">
      <selection activeCell="J38" sqref="J38"/>
    </sheetView>
  </sheetViews>
  <sheetFormatPr defaultRowHeight="12.75" x14ac:dyDescent="0.2"/>
  <cols>
    <col min="1" max="1" width="9.7109375" customWidth="1"/>
    <col min="2" max="2" width="75.140625" customWidth="1"/>
    <col min="3" max="3" width="10.28515625" customWidth="1"/>
    <col min="4" max="4" width="22.140625" customWidth="1"/>
    <col min="5" max="5" width="23" customWidth="1"/>
    <col min="6" max="6" width="23.85546875" customWidth="1"/>
    <col min="9" max="9" width="11.5703125" bestFit="1" customWidth="1"/>
  </cols>
  <sheetData>
    <row r="1" spans="1:9" ht="15" customHeight="1" x14ac:dyDescent="0.2">
      <c r="A1" s="12" t="s">
        <v>55</v>
      </c>
      <c r="B1" s="12" t="s">
        <v>56</v>
      </c>
      <c r="C1" s="12" t="s">
        <v>57</v>
      </c>
      <c r="D1" s="12" t="s">
        <v>58</v>
      </c>
      <c r="E1" s="12" t="s">
        <v>59</v>
      </c>
      <c r="F1" s="12" t="s">
        <v>123</v>
      </c>
    </row>
    <row r="2" spans="1:9" ht="15" customHeight="1" x14ac:dyDescent="0.25">
      <c r="A2" s="10" t="s">
        <v>61</v>
      </c>
      <c r="B2" s="10" t="s">
        <v>124</v>
      </c>
      <c r="C2" s="10" t="s">
        <v>77</v>
      </c>
      <c r="D2" s="36">
        <v>36517625</v>
      </c>
      <c r="E2" s="36">
        <v>61240899</v>
      </c>
      <c r="F2" s="36">
        <v>97758524</v>
      </c>
      <c r="I2" s="44"/>
    </row>
    <row r="3" spans="1:9" ht="15" customHeight="1" x14ac:dyDescent="0.25">
      <c r="A3" s="5" t="s">
        <v>9</v>
      </c>
      <c r="B3" s="5" t="s">
        <v>125</v>
      </c>
      <c r="C3" s="5" t="s">
        <v>126</v>
      </c>
      <c r="D3" s="18"/>
      <c r="E3" s="18"/>
      <c r="F3" s="18"/>
      <c r="I3" s="44"/>
    </row>
    <row r="4" spans="1:9" ht="15" customHeight="1" x14ac:dyDescent="0.25">
      <c r="A4" s="5" t="s">
        <v>69</v>
      </c>
      <c r="B4" s="5" t="s">
        <v>69</v>
      </c>
      <c r="C4" s="5" t="s">
        <v>69</v>
      </c>
      <c r="D4" s="18" t="s">
        <v>69</v>
      </c>
      <c r="E4" s="18" t="s">
        <v>69</v>
      </c>
      <c r="F4" s="18" t="s">
        <v>69</v>
      </c>
      <c r="I4" s="44"/>
    </row>
    <row r="5" spans="1:9" ht="15" customHeight="1" x14ac:dyDescent="0.25">
      <c r="A5" s="5" t="s">
        <v>12</v>
      </c>
      <c r="B5" s="5" t="s">
        <v>79</v>
      </c>
      <c r="C5" s="5" t="s">
        <v>104</v>
      </c>
      <c r="D5" s="37">
        <v>36500000</v>
      </c>
      <c r="E5" s="37">
        <v>61200000</v>
      </c>
      <c r="F5" s="37">
        <v>97700000</v>
      </c>
      <c r="I5" s="44"/>
    </row>
    <row r="6" spans="1:9" ht="15" customHeight="1" x14ac:dyDescent="0.25">
      <c r="A6" s="5" t="s">
        <v>69</v>
      </c>
      <c r="B6" s="5" t="s">
        <v>69</v>
      </c>
      <c r="C6" s="5" t="s">
        <v>69</v>
      </c>
      <c r="D6" s="18"/>
      <c r="E6" s="18" t="s">
        <v>69</v>
      </c>
      <c r="F6" s="18" t="s">
        <v>69</v>
      </c>
      <c r="I6" s="44"/>
    </row>
    <row r="7" spans="1:9" ht="15" customHeight="1" x14ac:dyDescent="0.25">
      <c r="A7" s="5" t="s">
        <v>15</v>
      </c>
      <c r="B7" s="5" t="s">
        <v>82</v>
      </c>
      <c r="C7" s="5" t="s">
        <v>127</v>
      </c>
      <c r="D7" s="37">
        <v>17625</v>
      </c>
      <c r="E7" s="37">
        <v>40899</v>
      </c>
      <c r="F7" s="37">
        <v>58524</v>
      </c>
      <c r="I7" s="44"/>
    </row>
    <row r="8" spans="1:9" ht="15" customHeight="1" x14ac:dyDescent="0.25">
      <c r="A8" s="5" t="s">
        <v>69</v>
      </c>
      <c r="B8" s="5" t="s">
        <v>69</v>
      </c>
      <c r="C8" s="5" t="s">
        <v>69</v>
      </c>
      <c r="D8" s="18" t="s">
        <v>69</v>
      </c>
      <c r="E8" s="18" t="s">
        <v>69</v>
      </c>
      <c r="F8" s="18" t="s">
        <v>69</v>
      </c>
      <c r="I8" s="44"/>
    </row>
    <row r="9" spans="1:9" ht="15" customHeight="1" x14ac:dyDescent="0.25">
      <c r="A9" s="5" t="s">
        <v>18</v>
      </c>
      <c r="B9" s="5" t="s">
        <v>128</v>
      </c>
      <c r="C9" s="5" t="s">
        <v>129</v>
      </c>
      <c r="D9" s="18"/>
      <c r="E9" s="18"/>
      <c r="F9" s="18"/>
      <c r="I9" s="44"/>
    </row>
    <row r="10" spans="1:9" ht="15" customHeight="1" x14ac:dyDescent="0.25">
      <c r="A10" s="5" t="s">
        <v>69</v>
      </c>
      <c r="B10" s="5" t="s">
        <v>69</v>
      </c>
      <c r="C10" s="5" t="s">
        <v>69</v>
      </c>
      <c r="D10" s="18" t="s">
        <v>69</v>
      </c>
      <c r="E10" s="18" t="s">
        <v>69</v>
      </c>
      <c r="F10" s="18" t="s">
        <v>69</v>
      </c>
      <c r="I10" s="44"/>
    </row>
    <row r="11" spans="1:9" ht="15" customHeight="1" x14ac:dyDescent="0.25">
      <c r="A11" s="10" t="s">
        <v>99</v>
      </c>
      <c r="B11" s="10" t="s">
        <v>130</v>
      </c>
      <c r="C11" s="10" t="s">
        <v>131</v>
      </c>
      <c r="D11" s="36">
        <v>114598795</v>
      </c>
      <c r="E11" s="36">
        <v>122763695</v>
      </c>
      <c r="F11" s="36">
        <v>237362490</v>
      </c>
      <c r="I11" s="44"/>
    </row>
    <row r="12" spans="1:9" ht="15" customHeight="1" x14ac:dyDescent="0.25">
      <c r="A12" s="5" t="s">
        <v>9</v>
      </c>
      <c r="B12" s="5" t="s">
        <v>132</v>
      </c>
      <c r="C12" s="5" t="s">
        <v>133</v>
      </c>
      <c r="D12" s="37">
        <v>33648766</v>
      </c>
      <c r="E12" s="37">
        <v>36802703</v>
      </c>
      <c r="F12" s="37">
        <v>70451469</v>
      </c>
      <c r="I12" s="44"/>
    </row>
    <row r="13" spans="1:9" ht="15" customHeight="1" x14ac:dyDescent="0.25">
      <c r="A13" s="5" t="s">
        <v>69</v>
      </c>
      <c r="B13" s="5" t="s">
        <v>69</v>
      </c>
      <c r="C13" s="5" t="s">
        <v>69</v>
      </c>
      <c r="D13" s="18" t="s">
        <v>69</v>
      </c>
      <c r="E13" s="18" t="s">
        <v>69</v>
      </c>
      <c r="F13" s="18" t="s">
        <v>69</v>
      </c>
      <c r="I13" s="44"/>
    </row>
    <row r="14" spans="1:9" ht="15" customHeight="1" x14ac:dyDescent="0.25">
      <c r="A14" s="5" t="s">
        <v>12</v>
      </c>
      <c r="B14" s="5" t="s">
        <v>134</v>
      </c>
      <c r="C14" s="5" t="s">
        <v>135</v>
      </c>
      <c r="D14" s="37">
        <v>25887854</v>
      </c>
      <c r="E14" s="37">
        <v>25923579</v>
      </c>
      <c r="F14" s="37">
        <v>51811433</v>
      </c>
      <c r="I14" s="44"/>
    </row>
    <row r="15" spans="1:9" ht="15" customHeight="1" x14ac:dyDescent="0.25">
      <c r="A15" s="5" t="s">
        <v>69</v>
      </c>
      <c r="B15" s="5" t="s">
        <v>69</v>
      </c>
      <c r="C15" s="5" t="s">
        <v>69</v>
      </c>
      <c r="D15" s="18" t="s">
        <v>69</v>
      </c>
      <c r="E15" s="18" t="s">
        <v>69</v>
      </c>
      <c r="F15" s="18" t="s">
        <v>69</v>
      </c>
      <c r="I15" s="44"/>
    </row>
    <row r="16" spans="1:9" ht="15" customHeight="1" x14ac:dyDescent="0.25">
      <c r="A16" s="5" t="s">
        <v>15</v>
      </c>
      <c r="B16" s="5" t="s">
        <v>136</v>
      </c>
      <c r="C16" s="5" t="s">
        <v>137</v>
      </c>
      <c r="D16" s="37">
        <v>34902725</v>
      </c>
      <c r="E16" s="37">
        <v>35596595</v>
      </c>
      <c r="F16" s="37">
        <v>70499320</v>
      </c>
      <c r="I16" s="44"/>
    </row>
    <row r="17" spans="1:9" ht="15" customHeight="1" x14ac:dyDescent="0.25">
      <c r="A17" s="5" t="s">
        <v>69</v>
      </c>
      <c r="B17" s="5" t="s">
        <v>69</v>
      </c>
      <c r="C17" s="5" t="s">
        <v>69</v>
      </c>
      <c r="D17" s="18" t="s">
        <v>69</v>
      </c>
      <c r="E17" s="18" t="s">
        <v>69</v>
      </c>
      <c r="F17" s="18" t="s">
        <v>69</v>
      </c>
      <c r="I17" s="44"/>
    </row>
    <row r="18" spans="1:9" ht="15" customHeight="1" x14ac:dyDescent="0.25">
      <c r="A18" s="5" t="s">
        <v>18</v>
      </c>
      <c r="B18" s="5" t="s">
        <v>138</v>
      </c>
      <c r="C18" s="5" t="s">
        <v>139</v>
      </c>
      <c r="D18" s="18"/>
      <c r="E18" s="18"/>
      <c r="F18" s="18"/>
      <c r="I18" s="44"/>
    </row>
    <row r="19" spans="1:9" ht="15" customHeight="1" x14ac:dyDescent="0.25">
      <c r="A19" s="5" t="s">
        <v>69</v>
      </c>
      <c r="B19" s="5" t="s">
        <v>69</v>
      </c>
      <c r="C19" s="5" t="s">
        <v>69</v>
      </c>
      <c r="D19" s="18" t="s">
        <v>69</v>
      </c>
      <c r="E19" s="18" t="s">
        <v>69</v>
      </c>
      <c r="F19" s="18" t="s">
        <v>69</v>
      </c>
      <c r="I19" s="44"/>
    </row>
    <row r="20" spans="1:9" ht="15" customHeight="1" x14ac:dyDescent="0.25">
      <c r="A20" s="5" t="s">
        <v>21</v>
      </c>
      <c r="B20" s="5" t="s">
        <v>140</v>
      </c>
      <c r="C20" s="5" t="s">
        <v>141</v>
      </c>
      <c r="D20" s="18"/>
      <c r="E20" s="18"/>
      <c r="F20" s="18"/>
      <c r="I20" s="44"/>
    </row>
    <row r="21" spans="1:9" ht="15" customHeight="1" x14ac:dyDescent="0.25">
      <c r="A21" s="5" t="s">
        <v>69</v>
      </c>
      <c r="B21" s="5" t="s">
        <v>69</v>
      </c>
      <c r="C21" s="5" t="s">
        <v>69</v>
      </c>
      <c r="D21" s="18" t="s">
        <v>69</v>
      </c>
      <c r="E21" s="18" t="s">
        <v>69</v>
      </c>
      <c r="F21" s="18" t="s">
        <v>69</v>
      </c>
      <c r="I21" s="44"/>
    </row>
    <row r="22" spans="1:9" ht="15" customHeight="1" x14ac:dyDescent="0.25">
      <c r="A22" s="5" t="s">
        <v>24</v>
      </c>
      <c r="B22" s="5" t="s">
        <v>142</v>
      </c>
      <c r="C22" s="5" t="s">
        <v>143</v>
      </c>
      <c r="D22" s="37">
        <v>6627942</v>
      </c>
      <c r="E22" s="37">
        <v>7338077</v>
      </c>
      <c r="F22" s="37">
        <v>13966019</v>
      </c>
      <c r="I22" s="44"/>
    </row>
    <row r="23" spans="1:9" ht="15" customHeight="1" x14ac:dyDescent="0.25">
      <c r="A23" s="5" t="s">
        <v>69</v>
      </c>
      <c r="B23" s="5" t="s">
        <v>69</v>
      </c>
      <c r="C23" s="5" t="s">
        <v>69</v>
      </c>
      <c r="D23" s="18" t="s">
        <v>69</v>
      </c>
      <c r="E23" s="18" t="s">
        <v>69</v>
      </c>
      <c r="F23" s="18" t="s">
        <v>69</v>
      </c>
      <c r="I23" s="44"/>
    </row>
    <row r="24" spans="1:9" ht="15" customHeight="1" x14ac:dyDescent="0.25">
      <c r="A24" s="5" t="s">
        <v>27</v>
      </c>
      <c r="B24" s="5" t="s">
        <v>144</v>
      </c>
      <c r="C24" s="5" t="s">
        <v>145</v>
      </c>
      <c r="D24" s="37">
        <v>11000000</v>
      </c>
      <c r="E24" s="37">
        <v>11000000</v>
      </c>
      <c r="F24" s="37">
        <v>22000000</v>
      </c>
      <c r="I24" s="44"/>
    </row>
    <row r="25" spans="1:9" ht="15" customHeight="1" x14ac:dyDescent="0.25">
      <c r="A25" s="5" t="s">
        <v>69</v>
      </c>
      <c r="B25" s="5" t="s">
        <v>69</v>
      </c>
      <c r="C25" s="5" t="s">
        <v>69</v>
      </c>
      <c r="D25" s="18" t="s">
        <v>69</v>
      </c>
      <c r="E25" s="18" t="s">
        <v>69</v>
      </c>
      <c r="F25" s="18" t="s">
        <v>69</v>
      </c>
      <c r="I25" s="44"/>
    </row>
    <row r="26" spans="1:9" ht="15" customHeight="1" x14ac:dyDescent="0.25">
      <c r="A26" s="5" t="s">
        <v>30</v>
      </c>
      <c r="B26" s="5" t="s">
        <v>146</v>
      </c>
      <c r="C26" s="5" t="s">
        <v>147</v>
      </c>
      <c r="D26" s="37"/>
      <c r="E26" s="37"/>
      <c r="F26" s="37"/>
      <c r="I26" s="44"/>
    </row>
    <row r="27" spans="1:9" ht="15" customHeight="1" x14ac:dyDescent="0.25">
      <c r="A27" s="5" t="s">
        <v>69</v>
      </c>
      <c r="B27" s="5" t="s">
        <v>69</v>
      </c>
      <c r="C27" s="5" t="s">
        <v>69</v>
      </c>
      <c r="D27" s="18" t="s">
        <v>69</v>
      </c>
      <c r="E27" s="18" t="s">
        <v>69</v>
      </c>
      <c r="F27" s="18" t="s">
        <v>69</v>
      </c>
      <c r="I27" s="44"/>
    </row>
    <row r="28" spans="1:9" ht="15" customHeight="1" x14ac:dyDescent="0.25">
      <c r="A28" s="5" t="s">
        <v>33</v>
      </c>
      <c r="B28" s="5" t="s">
        <v>148</v>
      </c>
      <c r="C28" s="5" t="s">
        <v>149</v>
      </c>
      <c r="D28" s="37"/>
      <c r="E28" s="37"/>
      <c r="F28" s="37"/>
      <c r="I28" s="44"/>
    </row>
    <row r="29" spans="1:9" ht="15" customHeight="1" x14ac:dyDescent="0.25">
      <c r="A29" s="5" t="s">
        <v>69</v>
      </c>
      <c r="B29" s="5" t="s">
        <v>69</v>
      </c>
      <c r="C29" s="5" t="s">
        <v>69</v>
      </c>
      <c r="D29" s="18" t="s">
        <v>69</v>
      </c>
      <c r="E29" s="18" t="s">
        <v>69</v>
      </c>
      <c r="F29" s="18" t="s">
        <v>69</v>
      </c>
      <c r="I29" s="44"/>
    </row>
    <row r="30" spans="1:9" ht="15" customHeight="1" x14ac:dyDescent="0.25">
      <c r="A30" s="5" t="s">
        <v>36</v>
      </c>
      <c r="B30" s="5" t="s">
        <v>150</v>
      </c>
      <c r="C30" s="5" t="s">
        <v>151</v>
      </c>
      <c r="D30" s="37">
        <v>2531508</v>
      </c>
      <c r="E30" s="37">
        <v>6102741</v>
      </c>
      <c r="F30" s="37">
        <v>8634249</v>
      </c>
      <c r="I30" s="44"/>
    </row>
    <row r="31" spans="1:9" ht="15" customHeight="1" x14ac:dyDescent="0.25">
      <c r="A31" s="5" t="s">
        <v>69</v>
      </c>
      <c r="B31" s="5" t="s">
        <v>69</v>
      </c>
      <c r="C31" s="5" t="s">
        <v>69</v>
      </c>
      <c r="D31" s="18" t="s">
        <v>69</v>
      </c>
      <c r="E31" s="18" t="s">
        <v>69</v>
      </c>
      <c r="F31" s="18" t="s">
        <v>69</v>
      </c>
      <c r="I31" s="44"/>
    </row>
    <row r="32" spans="1:9" ht="15" customHeight="1" x14ac:dyDescent="0.25">
      <c r="A32" s="5"/>
      <c r="B32" s="5"/>
      <c r="C32" s="5"/>
      <c r="D32" s="18"/>
      <c r="E32" s="18"/>
      <c r="F32" s="18"/>
      <c r="I32" s="44"/>
    </row>
    <row r="33" spans="1:9" ht="15" customHeight="1" x14ac:dyDescent="0.25">
      <c r="A33" s="10" t="s">
        <v>114</v>
      </c>
      <c r="B33" s="10" t="s">
        <v>152</v>
      </c>
      <c r="C33" s="10" t="s">
        <v>153</v>
      </c>
      <c r="D33" s="51">
        <v>-78081170</v>
      </c>
      <c r="E33" s="51">
        <v>-61522796</v>
      </c>
      <c r="F33" s="51">
        <v>-139603966</v>
      </c>
      <c r="I33" s="44"/>
    </row>
    <row r="34" spans="1:9" ht="15" customHeight="1" x14ac:dyDescent="0.25">
      <c r="A34" s="10" t="s">
        <v>117</v>
      </c>
      <c r="B34" s="10" t="s">
        <v>154</v>
      </c>
      <c r="C34" s="10" t="s">
        <v>155</v>
      </c>
      <c r="D34" s="51">
        <v>-153989550</v>
      </c>
      <c r="E34" s="51">
        <v>3737205700</v>
      </c>
      <c r="F34" s="51">
        <v>3583216150</v>
      </c>
      <c r="I34" s="44"/>
    </row>
    <row r="35" spans="1:9" ht="15" customHeight="1" x14ac:dyDescent="0.25">
      <c r="A35" s="5" t="s">
        <v>9</v>
      </c>
      <c r="B35" s="5" t="s">
        <v>156</v>
      </c>
      <c r="C35" s="5" t="s">
        <v>157</v>
      </c>
      <c r="D35" s="38"/>
      <c r="E35" s="38"/>
      <c r="F35" s="38"/>
      <c r="I35" s="44"/>
    </row>
    <row r="36" spans="1:9" ht="15" customHeight="1" x14ac:dyDescent="0.25">
      <c r="A36" s="5" t="s">
        <v>12</v>
      </c>
      <c r="B36" s="5" t="s">
        <v>158</v>
      </c>
      <c r="C36" s="5" t="s">
        <v>159</v>
      </c>
      <c r="D36" s="37">
        <v>-153989550</v>
      </c>
      <c r="E36" s="37">
        <v>3737205700</v>
      </c>
      <c r="F36" s="37">
        <v>3583216150</v>
      </c>
      <c r="I36" s="44"/>
    </row>
    <row r="37" spans="1:9" ht="15" customHeight="1" x14ac:dyDescent="0.25">
      <c r="A37" s="10" t="s">
        <v>120</v>
      </c>
      <c r="B37" s="10" t="s">
        <v>160</v>
      </c>
      <c r="C37" s="10" t="s">
        <v>161</v>
      </c>
      <c r="D37" s="36">
        <v>-232070720</v>
      </c>
      <c r="E37" s="36">
        <v>3675682904</v>
      </c>
      <c r="F37" s="36">
        <v>3443612184</v>
      </c>
      <c r="I37" s="44"/>
    </row>
    <row r="38" spans="1:9" ht="15" customHeight="1" x14ac:dyDescent="0.25">
      <c r="A38" s="10" t="s">
        <v>162</v>
      </c>
      <c r="B38" s="10" t="s">
        <v>163</v>
      </c>
      <c r="C38" s="10" t="s">
        <v>164</v>
      </c>
      <c r="D38" s="36">
        <v>68745700254</v>
      </c>
      <c r="E38" s="36">
        <v>65070017350</v>
      </c>
      <c r="F38" s="36">
        <v>65070017350</v>
      </c>
      <c r="I38" s="44"/>
    </row>
    <row r="39" spans="1:9" ht="15" customHeight="1" x14ac:dyDescent="0.25">
      <c r="A39" s="10" t="s">
        <v>165</v>
      </c>
      <c r="B39" s="10" t="s">
        <v>166</v>
      </c>
      <c r="C39" s="10" t="s">
        <v>167</v>
      </c>
      <c r="D39" s="36">
        <v>-232070720</v>
      </c>
      <c r="E39" s="36">
        <v>3675682904</v>
      </c>
      <c r="F39" s="36">
        <v>3443612184</v>
      </c>
      <c r="I39" s="44"/>
    </row>
    <row r="40" spans="1:9" ht="15" customHeight="1" x14ac:dyDescent="0.25">
      <c r="A40" s="5" t="s">
        <v>9</v>
      </c>
      <c r="B40" s="5" t="s">
        <v>168</v>
      </c>
      <c r="C40" s="5" t="s">
        <v>169</v>
      </c>
      <c r="D40" s="37">
        <v>-232070720</v>
      </c>
      <c r="E40" s="37">
        <v>3675682904</v>
      </c>
      <c r="F40" s="37">
        <v>3443612184</v>
      </c>
      <c r="I40" s="44"/>
    </row>
    <row r="41" spans="1:9" ht="15" customHeight="1" x14ac:dyDescent="0.25">
      <c r="A41" s="5" t="s">
        <v>12</v>
      </c>
      <c r="B41" s="5" t="s">
        <v>170</v>
      </c>
      <c r="C41" s="5" t="s">
        <v>171</v>
      </c>
      <c r="D41" s="39"/>
      <c r="E41" s="39"/>
      <c r="F41" s="39"/>
      <c r="I41" s="44"/>
    </row>
    <row r="42" spans="1:9" ht="15" customHeight="1" x14ac:dyDescent="0.25">
      <c r="A42" s="5" t="s">
        <v>69</v>
      </c>
      <c r="B42" s="5" t="s">
        <v>69</v>
      </c>
      <c r="C42" s="5" t="s">
        <v>69</v>
      </c>
      <c r="D42" s="18" t="s">
        <v>69</v>
      </c>
      <c r="E42" s="18" t="s">
        <v>69</v>
      </c>
      <c r="F42" s="18" t="s">
        <v>69</v>
      </c>
      <c r="I42" s="44"/>
    </row>
    <row r="43" spans="1:9" ht="15" customHeight="1" x14ac:dyDescent="0.25">
      <c r="A43" s="5" t="s">
        <v>1</v>
      </c>
      <c r="B43" s="5"/>
      <c r="C43" s="5"/>
      <c r="D43" s="18"/>
      <c r="E43" s="18"/>
      <c r="F43" s="18"/>
      <c r="I43" s="44"/>
    </row>
    <row r="44" spans="1:9" ht="15" customHeight="1" x14ac:dyDescent="0.25">
      <c r="A44" s="5" t="s">
        <v>15</v>
      </c>
      <c r="B44" s="5" t="s">
        <v>172</v>
      </c>
      <c r="C44" s="5" t="s">
        <v>173</v>
      </c>
      <c r="D44" s="37"/>
      <c r="E44" s="37"/>
      <c r="F44" s="37"/>
      <c r="I44" s="44"/>
    </row>
    <row r="45" spans="1:9" ht="15" customHeight="1" x14ac:dyDescent="0.25">
      <c r="A45" s="10" t="s">
        <v>174</v>
      </c>
      <c r="B45" s="10" t="s">
        <v>175</v>
      </c>
      <c r="C45" s="10" t="s">
        <v>176</v>
      </c>
      <c r="D45" s="36">
        <v>68513629534</v>
      </c>
      <c r="E45" s="36">
        <v>68745700254</v>
      </c>
      <c r="F45" s="36">
        <v>68513629534</v>
      </c>
      <c r="I45" s="44"/>
    </row>
    <row r="46" spans="1:9" ht="15" customHeight="1" x14ac:dyDescent="0.25">
      <c r="A46" s="10" t="s">
        <v>177</v>
      </c>
      <c r="B46" s="10" t="s">
        <v>178</v>
      </c>
      <c r="C46" s="10" t="s">
        <v>179</v>
      </c>
      <c r="D46" s="10"/>
      <c r="E46" s="10"/>
      <c r="F46" s="10"/>
    </row>
    <row r="47" spans="1:9" ht="15" customHeight="1" x14ac:dyDescent="0.25">
      <c r="A47" s="5" t="s">
        <v>1</v>
      </c>
      <c r="B47" s="5" t="s">
        <v>180</v>
      </c>
      <c r="C47" s="5" t="s">
        <v>181</v>
      </c>
      <c r="D47" s="5"/>
      <c r="E47" s="5"/>
      <c r="F47" s="5"/>
    </row>
    <row r="48" spans="1:9" ht="15" customHeight="1" x14ac:dyDescent="0.25">
      <c r="A48" s="16" t="s">
        <v>1</v>
      </c>
      <c r="B48" s="16" t="s">
        <v>1</v>
      </c>
      <c r="C48" s="16" t="s">
        <v>1</v>
      </c>
      <c r="D48" s="16" t="s">
        <v>1</v>
      </c>
      <c r="E48" s="16" t="s">
        <v>1</v>
      </c>
      <c r="F48" s="16" t="s">
        <v>1</v>
      </c>
    </row>
  </sheetData>
  <pageMargins left="0.75" right="0.75" top="1" bottom="1" header="0.5" footer="0.5"/>
  <pageSetup scale="55"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H49"/>
  <sheetViews>
    <sheetView view="pageBreakPreview" topLeftCell="A28" zoomScale="90" zoomScaleNormal="100" zoomScaleSheetLayoutView="90" workbookViewId="0">
      <selection activeCell="D48" sqref="D48:G49"/>
    </sheetView>
  </sheetViews>
  <sheetFormatPr defaultRowHeight="12.75" x14ac:dyDescent="0.2"/>
  <cols>
    <col min="1" max="1" width="6.85546875" customWidth="1"/>
    <col min="2" max="2" width="27.7109375" customWidth="1"/>
    <col min="3" max="3" width="12.5703125" customWidth="1"/>
    <col min="4" max="4" width="17" customWidth="1"/>
    <col min="5" max="5" width="15.140625" customWidth="1"/>
    <col min="6" max="6" width="21.28515625" customWidth="1"/>
    <col min="7" max="7" width="19.28515625" customWidth="1"/>
    <col min="8" max="8" width="23.28515625" bestFit="1" customWidth="1"/>
  </cols>
  <sheetData>
    <row r="1" spans="1:8" ht="15" customHeight="1" x14ac:dyDescent="0.2">
      <c r="A1" s="12" t="s">
        <v>6</v>
      </c>
      <c r="B1" s="12" t="s">
        <v>182</v>
      </c>
      <c r="C1" s="12" t="s">
        <v>57</v>
      </c>
      <c r="D1" s="12" t="s">
        <v>183</v>
      </c>
      <c r="E1" s="12" t="s">
        <v>184</v>
      </c>
      <c r="F1" s="12" t="s">
        <v>185</v>
      </c>
      <c r="G1" s="12" t="s">
        <v>186</v>
      </c>
    </row>
    <row r="2" spans="1:8" ht="15" customHeight="1" x14ac:dyDescent="0.25">
      <c r="A2" s="10" t="s">
        <v>61</v>
      </c>
      <c r="B2" s="55" t="s">
        <v>187</v>
      </c>
      <c r="C2" s="55"/>
      <c r="D2" s="55"/>
      <c r="E2" s="55"/>
      <c r="F2" s="55"/>
      <c r="G2" s="55"/>
    </row>
    <row r="3" spans="1:8" ht="15" customHeight="1" x14ac:dyDescent="0.25">
      <c r="A3" s="5" t="s">
        <v>69</v>
      </c>
      <c r="B3" s="5" t="s">
        <v>69</v>
      </c>
      <c r="C3" s="5" t="s">
        <v>69</v>
      </c>
      <c r="D3" s="5" t="s">
        <v>69</v>
      </c>
      <c r="E3" s="5" t="s">
        <v>69</v>
      </c>
      <c r="F3" s="5" t="s">
        <v>69</v>
      </c>
      <c r="G3" s="5" t="s">
        <v>69</v>
      </c>
    </row>
    <row r="4" spans="1:8" ht="15" customHeight="1" x14ac:dyDescent="0.25">
      <c r="A4" s="10" t="s">
        <v>99</v>
      </c>
      <c r="B4" s="10" t="s">
        <v>188</v>
      </c>
      <c r="C4" s="10" t="s">
        <v>126</v>
      </c>
      <c r="D4" s="10" t="s">
        <v>1</v>
      </c>
      <c r="E4" s="10" t="s">
        <v>1</v>
      </c>
      <c r="F4" s="10" t="s">
        <v>1</v>
      </c>
      <c r="G4" s="10" t="s">
        <v>1</v>
      </c>
    </row>
    <row r="5" spans="1:8" ht="15" customHeight="1" x14ac:dyDescent="0.25">
      <c r="A5" s="5" t="s">
        <v>69</v>
      </c>
      <c r="B5" s="5" t="s">
        <v>69</v>
      </c>
      <c r="C5" s="5" t="s">
        <v>69</v>
      </c>
      <c r="D5" s="5" t="s">
        <v>69</v>
      </c>
      <c r="E5" s="5" t="s">
        <v>69</v>
      </c>
      <c r="F5" s="5" t="s">
        <v>69</v>
      </c>
      <c r="G5" s="5" t="s">
        <v>69</v>
      </c>
    </row>
    <row r="6" spans="1:8" ht="15" customHeight="1" x14ac:dyDescent="0.25">
      <c r="A6" s="5">
        <v>1</v>
      </c>
      <c r="B6" s="5" t="s">
        <v>350</v>
      </c>
      <c r="C6" s="5">
        <v>2246.1</v>
      </c>
      <c r="D6" s="22">
        <v>177800</v>
      </c>
      <c r="E6" s="22">
        <v>24550</v>
      </c>
      <c r="F6" s="22">
        <v>4364990000</v>
      </c>
      <c r="G6" s="26">
        <v>6.3500000000000001E-2</v>
      </c>
      <c r="H6" s="25"/>
    </row>
    <row r="7" spans="1:8" ht="15" customHeight="1" x14ac:dyDescent="0.25">
      <c r="A7" s="5">
        <v>2</v>
      </c>
      <c r="B7" s="5" t="s">
        <v>351</v>
      </c>
      <c r="C7" s="5">
        <v>2246.1999999999998</v>
      </c>
      <c r="D7" s="22">
        <v>5600</v>
      </c>
      <c r="E7" s="22">
        <v>158500</v>
      </c>
      <c r="F7" s="22">
        <v>887600000</v>
      </c>
      <c r="G7" s="26">
        <v>1.29E-2</v>
      </c>
      <c r="H7" s="25"/>
    </row>
    <row r="8" spans="1:8" ht="15" customHeight="1" x14ac:dyDescent="0.25">
      <c r="A8" s="5">
        <v>3</v>
      </c>
      <c r="B8" s="5" t="s">
        <v>352</v>
      </c>
      <c r="C8" s="5">
        <v>2246.3000000000002</v>
      </c>
      <c r="D8" s="22">
        <v>12600</v>
      </c>
      <c r="E8" s="22">
        <v>88600</v>
      </c>
      <c r="F8" s="22">
        <v>1116360000</v>
      </c>
      <c r="G8" s="26">
        <v>1.6199999999999999E-2</v>
      </c>
      <c r="H8" s="25"/>
    </row>
    <row r="9" spans="1:8" ht="15" customHeight="1" x14ac:dyDescent="0.25">
      <c r="A9" s="5">
        <v>4</v>
      </c>
      <c r="B9" s="5" t="s">
        <v>353</v>
      </c>
      <c r="C9" s="5">
        <v>2246.4</v>
      </c>
      <c r="D9" s="22">
        <v>40498</v>
      </c>
      <c r="E9" s="22">
        <v>38250</v>
      </c>
      <c r="F9" s="22">
        <v>1549048500</v>
      </c>
      <c r="G9" s="26">
        <v>2.2499999999999999E-2</v>
      </c>
      <c r="H9" s="25"/>
    </row>
    <row r="10" spans="1:8" ht="15" customHeight="1" x14ac:dyDescent="0.25">
      <c r="A10" s="5">
        <v>5</v>
      </c>
      <c r="B10" s="5" t="s">
        <v>354</v>
      </c>
      <c r="C10" s="5">
        <v>2246.5</v>
      </c>
      <c r="D10" s="22">
        <v>109840</v>
      </c>
      <c r="E10" s="22">
        <v>92900</v>
      </c>
      <c r="F10" s="22">
        <v>10204136000</v>
      </c>
      <c r="G10" s="26">
        <v>0.14849999999999999</v>
      </c>
      <c r="H10" s="25"/>
    </row>
    <row r="11" spans="1:8" ht="15" customHeight="1" x14ac:dyDescent="0.25">
      <c r="A11" s="5">
        <v>6</v>
      </c>
      <c r="B11" s="5" t="s">
        <v>355</v>
      </c>
      <c r="C11" s="5">
        <v>2246.6</v>
      </c>
      <c r="D11" s="22">
        <v>59700</v>
      </c>
      <c r="E11" s="22">
        <v>84400</v>
      </c>
      <c r="F11" s="22">
        <v>5038680000</v>
      </c>
      <c r="G11" s="26">
        <v>7.3300000000000004E-2</v>
      </c>
      <c r="H11" s="25"/>
    </row>
    <row r="12" spans="1:8" ht="15" customHeight="1" x14ac:dyDescent="0.25">
      <c r="A12" s="5">
        <v>7</v>
      </c>
      <c r="B12" s="5" t="s">
        <v>356</v>
      </c>
      <c r="C12" s="5">
        <v>2246.6999999999998</v>
      </c>
      <c r="D12" s="22">
        <v>105697</v>
      </c>
      <c r="E12" s="22">
        <v>27950</v>
      </c>
      <c r="F12" s="22">
        <v>2954231150</v>
      </c>
      <c r="G12" s="26">
        <v>4.2999999999999997E-2</v>
      </c>
      <c r="H12" s="25"/>
    </row>
    <row r="13" spans="1:8" ht="15" customHeight="1" x14ac:dyDescent="0.25">
      <c r="A13" s="5">
        <v>8</v>
      </c>
      <c r="B13" s="5" t="s">
        <v>357</v>
      </c>
      <c r="C13" s="5">
        <v>2246.8000000000002</v>
      </c>
      <c r="D13" s="22">
        <v>79200</v>
      </c>
      <c r="E13" s="22">
        <v>27250</v>
      </c>
      <c r="F13" s="22">
        <v>2158200000</v>
      </c>
      <c r="G13" s="26">
        <v>3.1399999999999997E-2</v>
      </c>
      <c r="H13" s="25"/>
    </row>
    <row r="14" spans="1:8" ht="15" customHeight="1" x14ac:dyDescent="0.25">
      <c r="A14" s="5">
        <v>9</v>
      </c>
      <c r="B14" s="5" t="s">
        <v>358</v>
      </c>
      <c r="C14" s="5">
        <v>2246.9</v>
      </c>
      <c r="D14" s="22">
        <v>164900</v>
      </c>
      <c r="E14" s="22">
        <v>28500</v>
      </c>
      <c r="F14" s="22">
        <v>4699650000</v>
      </c>
      <c r="G14" s="26">
        <v>6.8400000000000002E-2</v>
      </c>
      <c r="H14" s="25"/>
    </row>
    <row r="15" spans="1:8" ht="15" customHeight="1" x14ac:dyDescent="0.25">
      <c r="A15" s="5">
        <v>10</v>
      </c>
      <c r="B15" s="5" t="s">
        <v>359</v>
      </c>
      <c r="C15" s="17" t="s">
        <v>346</v>
      </c>
      <c r="D15" s="22">
        <v>91580</v>
      </c>
      <c r="E15" s="22">
        <v>12200</v>
      </c>
      <c r="F15" s="22">
        <v>1117276000</v>
      </c>
      <c r="G15" s="26">
        <v>1.6299999999999999E-2</v>
      </c>
      <c r="H15" s="25"/>
    </row>
    <row r="16" spans="1:8" ht="15" customHeight="1" x14ac:dyDescent="0.25">
      <c r="A16" s="5">
        <v>11</v>
      </c>
      <c r="B16" s="5" t="s">
        <v>360</v>
      </c>
      <c r="C16" s="5">
        <v>2246.11</v>
      </c>
      <c r="D16" s="22">
        <v>118600</v>
      </c>
      <c r="E16" s="22">
        <v>93100</v>
      </c>
      <c r="F16" s="22">
        <v>11041660000</v>
      </c>
      <c r="G16" s="26">
        <v>0.16070000000000001</v>
      </c>
      <c r="H16" s="25"/>
    </row>
    <row r="17" spans="1:8" ht="15" customHeight="1" x14ac:dyDescent="0.25">
      <c r="A17" s="5">
        <v>12</v>
      </c>
      <c r="B17" s="5" t="s">
        <v>361</v>
      </c>
      <c r="C17" s="5">
        <v>2246.12</v>
      </c>
      <c r="D17" s="22">
        <v>76186</v>
      </c>
      <c r="E17" s="22">
        <v>27850</v>
      </c>
      <c r="F17" s="22">
        <v>2121780100</v>
      </c>
      <c r="G17" s="26">
        <v>3.09E-2</v>
      </c>
      <c r="H17" s="25"/>
    </row>
    <row r="18" spans="1:8" ht="15" customHeight="1" x14ac:dyDescent="0.25">
      <c r="A18" s="5">
        <v>13</v>
      </c>
      <c r="B18" s="5" t="s">
        <v>362</v>
      </c>
      <c r="C18" s="5">
        <v>2246.13</v>
      </c>
      <c r="D18" s="22">
        <v>26000</v>
      </c>
      <c r="E18" s="22">
        <v>11650</v>
      </c>
      <c r="F18" s="22">
        <v>302900000</v>
      </c>
      <c r="G18" s="26">
        <v>4.4000000000000003E-3</v>
      </c>
      <c r="H18" s="25"/>
    </row>
    <row r="19" spans="1:8" ht="15" customHeight="1" x14ac:dyDescent="0.25">
      <c r="A19" s="5">
        <v>14</v>
      </c>
      <c r="B19" s="5" t="s">
        <v>363</v>
      </c>
      <c r="C19" s="5">
        <v>2246.14</v>
      </c>
      <c r="D19" s="22">
        <v>61200</v>
      </c>
      <c r="E19" s="22">
        <v>121900</v>
      </c>
      <c r="F19" s="22">
        <v>7460280000</v>
      </c>
      <c r="G19" s="26">
        <v>0.1086</v>
      </c>
      <c r="H19" s="25"/>
    </row>
    <row r="20" spans="1:8" ht="15" customHeight="1" x14ac:dyDescent="0.25">
      <c r="A20" s="5">
        <v>15</v>
      </c>
      <c r="B20" s="5" t="s">
        <v>364</v>
      </c>
      <c r="C20" s="5">
        <v>2246.15</v>
      </c>
      <c r="D20" s="22">
        <v>36500</v>
      </c>
      <c r="E20" s="22">
        <v>61800</v>
      </c>
      <c r="F20" s="22">
        <v>2255700000</v>
      </c>
      <c r="G20" s="26">
        <v>3.2800000000000003E-2</v>
      </c>
      <c r="H20" s="25"/>
    </row>
    <row r="21" spans="1:8" ht="15" customHeight="1" x14ac:dyDescent="0.25">
      <c r="A21" s="5">
        <v>16</v>
      </c>
      <c r="B21" s="5" t="s">
        <v>365</v>
      </c>
      <c r="C21" s="5">
        <v>2246.16</v>
      </c>
      <c r="D21" s="22">
        <v>162000</v>
      </c>
      <c r="E21" s="22">
        <v>36250</v>
      </c>
      <c r="F21" s="22">
        <v>5872500000</v>
      </c>
      <c r="G21" s="26">
        <v>8.5500000000000007E-2</v>
      </c>
      <c r="H21" s="25"/>
    </row>
    <row r="22" spans="1:8" ht="15" customHeight="1" x14ac:dyDescent="0.25">
      <c r="A22" s="5">
        <v>17</v>
      </c>
      <c r="B22" s="5" t="s">
        <v>366</v>
      </c>
      <c r="C22" s="5">
        <v>2246.17</v>
      </c>
      <c r="D22" s="22">
        <v>64905</v>
      </c>
      <c r="E22" s="22">
        <v>18400</v>
      </c>
      <c r="F22" s="22">
        <v>1194252000</v>
      </c>
      <c r="G22" s="26">
        <v>1.7399999999999999E-2</v>
      </c>
      <c r="H22" s="25"/>
    </row>
    <row r="23" spans="1:8" ht="15" customHeight="1" x14ac:dyDescent="0.25">
      <c r="A23" s="5">
        <v>18</v>
      </c>
      <c r="B23" s="5" t="s">
        <v>367</v>
      </c>
      <c r="C23" s="5">
        <v>2246.1799999999998</v>
      </c>
      <c r="D23" s="22">
        <v>146300</v>
      </c>
      <c r="E23" s="22">
        <v>28950</v>
      </c>
      <c r="F23" s="22">
        <v>4235385000</v>
      </c>
      <c r="G23" s="26">
        <v>6.1600000000000002E-2</v>
      </c>
      <c r="H23" s="25"/>
    </row>
    <row r="24" spans="1:8" ht="15" customHeight="1" x14ac:dyDescent="0.25">
      <c r="A24" s="5"/>
      <c r="B24" s="5" t="s">
        <v>189</v>
      </c>
      <c r="C24" s="5" t="s">
        <v>173</v>
      </c>
      <c r="D24" s="22">
        <v>1539106</v>
      </c>
      <c r="E24" s="22"/>
      <c r="F24" s="22">
        <v>68574628750</v>
      </c>
      <c r="G24" s="26">
        <v>0.99790000000000001</v>
      </c>
      <c r="H24" s="25"/>
    </row>
    <row r="25" spans="1:8" ht="15" customHeight="1" x14ac:dyDescent="0.25">
      <c r="A25" s="10" t="s">
        <v>114</v>
      </c>
      <c r="B25" s="10" t="s">
        <v>190</v>
      </c>
      <c r="C25" s="10" t="s">
        <v>139</v>
      </c>
      <c r="D25" s="10">
        <v>0</v>
      </c>
      <c r="E25" s="10">
        <v>0</v>
      </c>
      <c r="F25" s="10">
        <v>0</v>
      </c>
      <c r="G25" s="27">
        <v>0</v>
      </c>
      <c r="H25" s="25"/>
    </row>
    <row r="26" spans="1:8" ht="15" customHeight="1" x14ac:dyDescent="0.25">
      <c r="A26" s="5" t="s">
        <v>69</v>
      </c>
      <c r="B26" s="5" t="s">
        <v>69</v>
      </c>
      <c r="C26" s="5" t="s">
        <v>69</v>
      </c>
      <c r="D26" s="5" t="s">
        <v>69</v>
      </c>
      <c r="E26" s="5" t="s">
        <v>69</v>
      </c>
      <c r="F26" s="5" t="s">
        <v>69</v>
      </c>
      <c r="G26" s="26" t="s">
        <v>69</v>
      </c>
      <c r="H26" s="25"/>
    </row>
    <row r="27" spans="1:8" ht="15" customHeight="1" x14ac:dyDescent="0.25">
      <c r="A27" s="5"/>
      <c r="B27" s="5" t="s">
        <v>191</v>
      </c>
      <c r="C27" s="5" t="s">
        <v>141</v>
      </c>
      <c r="D27" s="5"/>
      <c r="E27" s="5"/>
      <c r="F27" s="5"/>
      <c r="G27" s="26"/>
      <c r="H27" s="25"/>
    </row>
    <row r="28" spans="1:8" ht="15" customHeight="1" x14ac:dyDescent="0.25">
      <c r="A28" s="10" t="s">
        <v>117</v>
      </c>
      <c r="B28" s="10" t="s">
        <v>192</v>
      </c>
      <c r="C28" s="10" t="s">
        <v>193</v>
      </c>
      <c r="D28" s="10">
        <v>0</v>
      </c>
      <c r="E28" s="10">
        <v>0</v>
      </c>
      <c r="F28" s="10">
        <v>0</v>
      </c>
      <c r="G28" s="27">
        <v>0</v>
      </c>
      <c r="H28" s="25"/>
    </row>
    <row r="29" spans="1:8" ht="15" customHeight="1" x14ac:dyDescent="0.25">
      <c r="A29" s="5" t="s">
        <v>69</v>
      </c>
      <c r="B29" s="5" t="s">
        <v>69</v>
      </c>
      <c r="C29" s="5" t="s">
        <v>69</v>
      </c>
      <c r="D29" s="5" t="s">
        <v>69</v>
      </c>
      <c r="E29" s="5" t="s">
        <v>69</v>
      </c>
      <c r="F29" s="5" t="s">
        <v>69</v>
      </c>
      <c r="G29" s="26" t="s">
        <v>69</v>
      </c>
      <c r="H29" s="25"/>
    </row>
    <row r="30" spans="1:8" ht="15" customHeight="1" x14ac:dyDescent="0.25">
      <c r="A30" s="5"/>
      <c r="B30" s="5" t="s">
        <v>189</v>
      </c>
      <c r="C30" s="5" t="s">
        <v>194</v>
      </c>
      <c r="D30" s="5"/>
      <c r="E30" s="5"/>
      <c r="F30" s="5"/>
      <c r="G30" s="26"/>
      <c r="H30" s="25"/>
    </row>
    <row r="31" spans="1:8" ht="15" customHeight="1" x14ac:dyDescent="0.25">
      <c r="A31" s="10" t="s">
        <v>120</v>
      </c>
      <c r="B31" s="10" t="s">
        <v>195</v>
      </c>
      <c r="C31" s="10" t="s">
        <v>196</v>
      </c>
      <c r="D31" s="10">
        <v>0</v>
      </c>
      <c r="E31" s="10">
        <v>0</v>
      </c>
      <c r="F31" s="10">
        <v>0</v>
      </c>
      <c r="G31" s="27">
        <v>0</v>
      </c>
      <c r="H31" s="25"/>
    </row>
    <row r="32" spans="1:8" ht="15" customHeight="1" x14ac:dyDescent="0.25">
      <c r="A32" s="5" t="s">
        <v>69</v>
      </c>
      <c r="B32" s="5" t="s">
        <v>69</v>
      </c>
      <c r="C32" s="5" t="s">
        <v>69</v>
      </c>
      <c r="D32" s="5" t="s">
        <v>69</v>
      </c>
      <c r="E32" s="5" t="s">
        <v>69</v>
      </c>
      <c r="F32" s="5" t="s">
        <v>69</v>
      </c>
      <c r="G32" s="26" t="s">
        <v>69</v>
      </c>
      <c r="H32" s="25"/>
    </row>
    <row r="33" spans="1:8" ht="15" customHeight="1" x14ac:dyDescent="0.25">
      <c r="A33" s="5"/>
      <c r="B33" s="18" t="s">
        <v>345</v>
      </c>
      <c r="C33" s="18">
        <v>2253.1</v>
      </c>
      <c r="D33" s="22"/>
      <c r="E33" s="22"/>
      <c r="F33" s="22"/>
      <c r="G33" s="26">
        <v>0</v>
      </c>
      <c r="H33" s="25"/>
    </row>
    <row r="34" spans="1:8" ht="15" customHeight="1" x14ac:dyDescent="0.25">
      <c r="A34" s="5"/>
      <c r="B34" s="5" t="s">
        <v>189</v>
      </c>
      <c r="C34" s="5" t="s">
        <v>197</v>
      </c>
      <c r="D34" s="48">
        <v>1539106</v>
      </c>
      <c r="E34" s="49"/>
      <c r="F34" s="48">
        <v>68574628750</v>
      </c>
      <c r="G34" s="50">
        <v>0.99790000000000001</v>
      </c>
      <c r="H34" s="25"/>
    </row>
    <row r="35" spans="1:8" ht="15" customHeight="1" x14ac:dyDescent="0.25">
      <c r="A35" s="10" t="s">
        <v>162</v>
      </c>
      <c r="B35" s="10" t="s">
        <v>94</v>
      </c>
      <c r="C35" s="10" t="s">
        <v>198</v>
      </c>
      <c r="D35" s="24"/>
      <c r="E35" s="24"/>
      <c r="F35" s="24"/>
      <c r="G35" s="27"/>
      <c r="H35" s="25"/>
    </row>
    <row r="36" spans="1:8" ht="15" customHeight="1" x14ac:dyDescent="0.25">
      <c r="A36" s="5" t="s">
        <v>69</v>
      </c>
      <c r="B36" s="5" t="s">
        <v>69</v>
      </c>
      <c r="C36" s="5" t="s">
        <v>69</v>
      </c>
      <c r="D36" s="5" t="s">
        <v>69</v>
      </c>
      <c r="E36" s="5" t="s">
        <v>69</v>
      </c>
      <c r="F36" s="5" t="s">
        <v>69</v>
      </c>
      <c r="G36" s="26" t="s">
        <v>69</v>
      </c>
      <c r="H36" s="25"/>
    </row>
    <row r="37" spans="1:8" ht="15" customHeight="1" x14ac:dyDescent="0.25">
      <c r="A37" s="5"/>
      <c r="B37" s="5" t="s">
        <v>340</v>
      </c>
      <c r="C37" s="5">
        <v>2256.1</v>
      </c>
      <c r="D37" s="5">
        <v>0</v>
      </c>
      <c r="E37" s="5">
        <v>0</v>
      </c>
      <c r="F37" s="22">
        <v>36500000</v>
      </c>
      <c r="G37" s="26">
        <v>5.0000000000000001E-4</v>
      </c>
      <c r="H37" s="25"/>
    </row>
    <row r="38" spans="1:8" ht="15" customHeight="1" x14ac:dyDescent="0.25">
      <c r="A38" s="5"/>
      <c r="B38" s="15" t="s">
        <v>344</v>
      </c>
      <c r="C38" s="5">
        <v>2256.1999999999998</v>
      </c>
      <c r="D38" s="5">
        <v>0</v>
      </c>
      <c r="E38" s="5">
        <v>0</v>
      </c>
      <c r="F38" s="22"/>
      <c r="G38" s="26"/>
      <c r="H38" s="25"/>
    </row>
    <row r="39" spans="1:8" ht="15" customHeight="1" x14ac:dyDescent="0.25">
      <c r="A39" s="5"/>
      <c r="B39" s="5" t="s">
        <v>341</v>
      </c>
      <c r="C39" s="5">
        <v>2256.3000000000002</v>
      </c>
      <c r="D39" s="5">
        <v>0</v>
      </c>
      <c r="E39" s="5">
        <v>0</v>
      </c>
      <c r="F39" s="22"/>
      <c r="G39" s="28"/>
      <c r="H39" s="25"/>
    </row>
    <row r="40" spans="1:8" ht="15" customHeight="1" x14ac:dyDescent="0.25">
      <c r="A40" s="5"/>
      <c r="B40" s="5" t="s">
        <v>342</v>
      </c>
      <c r="C40" s="5">
        <v>2256.4</v>
      </c>
      <c r="D40" s="5">
        <v>0</v>
      </c>
      <c r="E40" s="5">
        <v>0</v>
      </c>
      <c r="F40" s="19">
        <v>27665751</v>
      </c>
      <c r="G40" s="26">
        <v>4.0000000000000002E-4</v>
      </c>
      <c r="H40" s="25"/>
    </row>
    <row r="41" spans="1:8" ht="15" customHeight="1" x14ac:dyDescent="0.25">
      <c r="A41" s="5"/>
      <c r="B41" s="5" t="s">
        <v>189</v>
      </c>
      <c r="C41" s="5" t="s">
        <v>199</v>
      </c>
      <c r="D41" s="5"/>
      <c r="E41" s="5"/>
      <c r="F41" s="45">
        <v>64165751</v>
      </c>
      <c r="G41" s="46">
        <v>8.9999999999999998E-4</v>
      </c>
      <c r="H41" s="25"/>
    </row>
    <row r="42" spans="1:8" ht="15" customHeight="1" x14ac:dyDescent="0.25">
      <c r="A42" s="10" t="s">
        <v>165</v>
      </c>
      <c r="B42" s="10" t="s">
        <v>200</v>
      </c>
      <c r="C42" s="10" t="s">
        <v>201</v>
      </c>
      <c r="D42" s="10"/>
      <c r="E42" s="10"/>
      <c r="F42" s="10"/>
      <c r="G42" s="26"/>
      <c r="H42" s="25"/>
    </row>
    <row r="43" spans="1:8" ht="15" customHeight="1" x14ac:dyDescent="0.25">
      <c r="A43" s="5" t="s">
        <v>9</v>
      </c>
      <c r="B43" s="5" t="s">
        <v>67</v>
      </c>
      <c r="C43" s="5" t="s">
        <v>202</v>
      </c>
      <c r="D43" s="5">
        <v>0</v>
      </c>
      <c r="E43" s="5">
        <v>0</v>
      </c>
      <c r="F43" s="22">
        <v>78120916</v>
      </c>
      <c r="G43" s="26">
        <v>1.1000000000000001E-3</v>
      </c>
      <c r="H43" s="25"/>
    </row>
    <row r="44" spans="1:8" ht="15" customHeight="1" x14ac:dyDescent="0.25">
      <c r="A44" s="5" t="s">
        <v>69</v>
      </c>
      <c r="B44" s="5" t="s">
        <v>69</v>
      </c>
      <c r="C44" s="5" t="s">
        <v>69</v>
      </c>
      <c r="D44" s="5" t="s">
        <v>69</v>
      </c>
      <c r="E44" s="5" t="s">
        <v>203</v>
      </c>
      <c r="F44" s="5" t="s">
        <v>203</v>
      </c>
      <c r="G44" s="26" t="s">
        <v>203</v>
      </c>
      <c r="H44" s="25"/>
    </row>
    <row r="45" spans="1:8" ht="15" customHeight="1" x14ac:dyDescent="0.25">
      <c r="A45" s="5" t="s">
        <v>203</v>
      </c>
      <c r="B45" s="5"/>
      <c r="C45" s="5"/>
      <c r="D45" s="5"/>
      <c r="E45" s="5" t="s">
        <v>203</v>
      </c>
      <c r="F45" s="5" t="s">
        <v>203</v>
      </c>
      <c r="G45" s="26" t="s">
        <v>203</v>
      </c>
      <c r="H45" s="25"/>
    </row>
    <row r="46" spans="1:8" ht="15" customHeight="1" x14ac:dyDescent="0.25">
      <c r="A46" s="5" t="s">
        <v>12</v>
      </c>
      <c r="B46" s="5" t="s">
        <v>70</v>
      </c>
      <c r="C46" s="5" t="s">
        <v>204</v>
      </c>
      <c r="D46" s="5">
        <v>0</v>
      </c>
      <c r="E46" s="5">
        <v>0</v>
      </c>
      <c r="F46" s="22"/>
      <c r="G46" s="26">
        <v>0</v>
      </c>
      <c r="H46" s="25"/>
    </row>
    <row r="47" spans="1:8" ht="15" customHeight="1" x14ac:dyDescent="0.25">
      <c r="A47" s="5" t="s">
        <v>69</v>
      </c>
      <c r="B47" s="5" t="s">
        <v>69</v>
      </c>
      <c r="C47" s="5" t="s">
        <v>69</v>
      </c>
      <c r="D47" s="5" t="s">
        <v>69</v>
      </c>
      <c r="E47" s="5" t="s">
        <v>69</v>
      </c>
      <c r="F47" s="5" t="s">
        <v>69</v>
      </c>
      <c r="G47" s="26" t="s">
        <v>69</v>
      </c>
      <c r="H47" s="25"/>
    </row>
    <row r="48" spans="1:8" ht="15" customHeight="1" x14ac:dyDescent="0.25">
      <c r="A48" s="5"/>
      <c r="B48" s="5" t="s">
        <v>191</v>
      </c>
      <c r="C48" s="5" t="s">
        <v>205</v>
      </c>
      <c r="D48" s="5"/>
      <c r="E48" s="5"/>
      <c r="F48" s="22">
        <v>78120916</v>
      </c>
      <c r="G48" s="26">
        <v>1.1000000000000001E-3</v>
      </c>
      <c r="H48" s="25"/>
    </row>
    <row r="49" spans="1:8" ht="15" customHeight="1" x14ac:dyDescent="0.25">
      <c r="A49" s="10" t="s">
        <v>174</v>
      </c>
      <c r="B49" s="10" t="s">
        <v>206</v>
      </c>
      <c r="C49" s="10" t="s">
        <v>207</v>
      </c>
      <c r="D49" s="42">
        <v>1539106</v>
      </c>
      <c r="E49" s="10"/>
      <c r="F49" s="42">
        <v>68716915417</v>
      </c>
      <c r="G49" s="26">
        <v>1</v>
      </c>
      <c r="H49" s="25"/>
    </row>
  </sheetData>
  <mergeCells count="1">
    <mergeCell ref="B2:G2"/>
  </mergeCells>
  <pageMargins left="0.75" right="0.75" top="1" bottom="1" header="0.5" footer="0.5"/>
  <pageSetup scale="76"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I33" sqref="I33"/>
    </sheetView>
  </sheetViews>
  <sheetFormatPr defaultRowHeight="12.75" x14ac:dyDescent="0.2"/>
  <cols>
    <col min="1" max="1" width="6.85546875" customWidth="1"/>
    <col min="2" max="2" width="47.85546875" customWidth="1"/>
    <col min="3" max="6" width="14" customWidth="1"/>
    <col min="7" max="7" width="14.42578125" customWidth="1"/>
    <col min="8" max="8" width="17.28515625" customWidth="1"/>
    <col min="9" max="9" width="14.42578125" customWidth="1"/>
    <col min="10" max="10" width="19" customWidth="1"/>
  </cols>
  <sheetData>
    <row r="1" spans="1:10" ht="15" customHeight="1" x14ac:dyDescent="0.2">
      <c r="A1" s="56" t="s">
        <v>208</v>
      </c>
      <c r="B1" s="56" t="s">
        <v>209</v>
      </c>
      <c r="C1" s="56" t="s">
        <v>210</v>
      </c>
      <c r="D1" s="56" t="s">
        <v>211</v>
      </c>
      <c r="E1" s="56" t="s">
        <v>212</v>
      </c>
      <c r="F1" s="56" t="s">
        <v>213</v>
      </c>
      <c r="G1" s="56" t="s">
        <v>214</v>
      </c>
      <c r="H1" s="56"/>
      <c r="I1" s="56" t="s">
        <v>215</v>
      </c>
      <c r="J1" s="56"/>
    </row>
    <row r="2" spans="1:10" ht="15" customHeight="1" x14ac:dyDescent="0.2">
      <c r="A2" s="56"/>
      <c r="B2" s="56"/>
      <c r="C2" s="56"/>
      <c r="D2" s="56"/>
      <c r="E2" s="56"/>
      <c r="F2" s="56"/>
      <c r="G2" s="9" t="s">
        <v>216</v>
      </c>
      <c r="H2" s="9" t="s">
        <v>217</v>
      </c>
      <c r="I2" s="9" t="s">
        <v>218</v>
      </c>
      <c r="J2" s="9" t="s">
        <v>219</v>
      </c>
    </row>
    <row r="3" spans="1:10" ht="15" customHeight="1" x14ac:dyDescent="0.25">
      <c r="A3" s="5" t="s">
        <v>9</v>
      </c>
      <c r="B3" s="5" t="s">
        <v>220</v>
      </c>
      <c r="C3" s="5" t="s">
        <v>1</v>
      </c>
      <c r="D3" s="5" t="s">
        <v>1</v>
      </c>
      <c r="E3" s="5" t="s">
        <v>1</v>
      </c>
      <c r="F3" s="5" t="s">
        <v>1</v>
      </c>
      <c r="G3" s="5" t="s">
        <v>1</v>
      </c>
      <c r="H3" s="5" t="s">
        <v>1</v>
      </c>
      <c r="I3" s="5" t="s">
        <v>1</v>
      </c>
      <c r="J3" s="5" t="s">
        <v>1</v>
      </c>
    </row>
    <row r="4" spans="1:10" ht="15" customHeight="1" x14ac:dyDescent="0.25">
      <c r="A4" s="5" t="s">
        <v>69</v>
      </c>
      <c r="B4" s="5" t="s">
        <v>69</v>
      </c>
      <c r="C4" s="5" t="s">
        <v>69</v>
      </c>
      <c r="D4" s="5" t="s">
        <v>69</v>
      </c>
      <c r="E4" s="5" t="s">
        <v>69</v>
      </c>
      <c r="F4" s="5" t="s">
        <v>69</v>
      </c>
      <c r="G4" s="5" t="s">
        <v>69</v>
      </c>
      <c r="H4" s="5" t="s">
        <v>69</v>
      </c>
      <c r="I4" s="5" t="s">
        <v>69</v>
      </c>
      <c r="J4" s="5" t="s">
        <v>69</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10" t="s">
        <v>61</v>
      </c>
      <c r="B6" s="10" t="s">
        <v>221</v>
      </c>
      <c r="C6" s="10" t="s">
        <v>1</v>
      </c>
      <c r="D6" s="10" t="s">
        <v>1</v>
      </c>
      <c r="E6" s="10" t="s">
        <v>1</v>
      </c>
      <c r="F6" s="10" t="s">
        <v>1</v>
      </c>
      <c r="G6" s="10" t="s">
        <v>1</v>
      </c>
      <c r="H6" s="10" t="s">
        <v>1</v>
      </c>
      <c r="I6" s="10" t="s">
        <v>1</v>
      </c>
      <c r="J6" s="10" t="s">
        <v>1</v>
      </c>
    </row>
    <row r="7" spans="1:10" ht="15" customHeight="1" x14ac:dyDescent="0.25">
      <c r="A7" s="5" t="s">
        <v>12</v>
      </c>
      <c r="B7" s="5" t="s">
        <v>222</v>
      </c>
      <c r="C7" s="5" t="s">
        <v>1</v>
      </c>
      <c r="D7" s="5" t="s">
        <v>1</v>
      </c>
      <c r="E7" s="5" t="s">
        <v>1</v>
      </c>
      <c r="F7" s="5" t="s">
        <v>1</v>
      </c>
      <c r="G7" s="5" t="s">
        <v>1</v>
      </c>
      <c r="H7" s="5" t="s">
        <v>1</v>
      </c>
      <c r="I7" s="5" t="s">
        <v>1</v>
      </c>
      <c r="J7" s="5" t="s">
        <v>1</v>
      </c>
    </row>
    <row r="8" spans="1:10" ht="15" customHeight="1" x14ac:dyDescent="0.25">
      <c r="A8" s="5" t="s">
        <v>69</v>
      </c>
      <c r="B8" s="5" t="s">
        <v>69</v>
      </c>
      <c r="C8" s="5" t="s">
        <v>69</v>
      </c>
      <c r="D8" s="5" t="s">
        <v>69</v>
      </c>
      <c r="E8" s="5" t="s">
        <v>69</v>
      </c>
      <c r="F8" s="5" t="s">
        <v>69</v>
      </c>
      <c r="G8" s="5" t="s">
        <v>69</v>
      </c>
      <c r="H8" s="5" t="s">
        <v>69</v>
      </c>
      <c r="I8" s="5" t="s">
        <v>69</v>
      </c>
      <c r="J8" s="5" t="s">
        <v>69</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10" t="s">
        <v>99</v>
      </c>
      <c r="B10" s="10" t="s">
        <v>223</v>
      </c>
      <c r="C10" s="10" t="s">
        <v>1</v>
      </c>
      <c r="D10" s="10" t="s">
        <v>1</v>
      </c>
      <c r="E10" s="10" t="s">
        <v>1</v>
      </c>
      <c r="F10" s="10" t="s">
        <v>1</v>
      </c>
      <c r="G10" s="10" t="s">
        <v>1</v>
      </c>
      <c r="H10" s="10" t="s">
        <v>1</v>
      </c>
      <c r="I10" s="10" t="s">
        <v>1</v>
      </c>
      <c r="J10" s="10" t="s">
        <v>1</v>
      </c>
    </row>
    <row r="11" spans="1:10" ht="15" customHeight="1" x14ac:dyDescent="0.25">
      <c r="A11" s="10" t="s">
        <v>224</v>
      </c>
      <c r="B11" s="10" t="s">
        <v>225</v>
      </c>
      <c r="C11" s="10" t="s">
        <v>1</v>
      </c>
      <c r="D11" s="10" t="s">
        <v>1</v>
      </c>
      <c r="E11" s="10" t="s">
        <v>1</v>
      </c>
      <c r="F11" s="10" t="s">
        <v>1</v>
      </c>
      <c r="G11" s="10" t="s">
        <v>1</v>
      </c>
      <c r="H11" s="10" t="s">
        <v>1</v>
      </c>
      <c r="I11" s="10" t="s">
        <v>1</v>
      </c>
      <c r="J11" s="10" t="s">
        <v>1</v>
      </c>
    </row>
    <row r="12" spans="1:10" ht="15" customHeight="1" x14ac:dyDescent="0.25">
      <c r="A12" s="5" t="s">
        <v>15</v>
      </c>
      <c r="B12" s="5" t="s">
        <v>226</v>
      </c>
      <c r="C12" s="5" t="s">
        <v>1</v>
      </c>
      <c r="D12" s="5" t="s">
        <v>1</v>
      </c>
      <c r="E12" s="5" t="s">
        <v>1</v>
      </c>
      <c r="F12" s="5" t="s">
        <v>1</v>
      </c>
      <c r="G12" s="5" t="s">
        <v>1</v>
      </c>
      <c r="H12" s="5" t="s">
        <v>1</v>
      </c>
      <c r="I12" s="5" t="s">
        <v>1</v>
      </c>
      <c r="J12" s="5" t="s">
        <v>1</v>
      </c>
    </row>
    <row r="13" spans="1:10" ht="15" customHeight="1" x14ac:dyDescent="0.25">
      <c r="A13" s="5" t="s">
        <v>69</v>
      </c>
      <c r="B13" s="5" t="s">
        <v>69</v>
      </c>
      <c r="C13" s="5" t="s">
        <v>69</v>
      </c>
      <c r="D13" s="5" t="s">
        <v>69</v>
      </c>
      <c r="E13" s="5" t="s">
        <v>69</v>
      </c>
      <c r="F13" s="5" t="s">
        <v>69</v>
      </c>
      <c r="G13" s="5" t="s">
        <v>69</v>
      </c>
      <c r="H13" s="5" t="s">
        <v>69</v>
      </c>
      <c r="I13" s="5" t="s">
        <v>69</v>
      </c>
      <c r="J13" s="5" t="s">
        <v>69</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10" t="s">
        <v>114</v>
      </c>
      <c r="B15" s="10" t="s">
        <v>227</v>
      </c>
      <c r="C15" s="10" t="s">
        <v>1</v>
      </c>
      <c r="D15" s="10" t="s">
        <v>1</v>
      </c>
      <c r="E15" s="10" t="s">
        <v>1</v>
      </c>
      <c r="F15" s="10" t="s">
        <v>1</v>
      </c>
      <c r="G15" s="10" t="s">
        <v>1</v>
      </c>
      <c r="H15" s="10" t="s">
        <v>1</v>
      </c>
      <c r="I15" s="10" t="s">
        <v>1</v>
      </c>
      <c r="J15" s="10" t="s">
        <v>1</v>
      </c>
    </row>
    <row r="16" spans="1:10" ht="15" customHeight="1" x14ac:dyDescent="0.25">
      <c r="A16" s="5" t="s">
        <v>18</v>
      </c>
      <c r="B16" s="5" t="s">
        <v>228</v>
      </c>
      <c r="C16" s="5" t="s">
        <v>1</v>
      </c>
      <c r="D16" s="5" t="s">
        <v>1</v>
      </c>
      <c r="E16" s="5" t="s">
        <v>1</v>
      </c>
      <c r="F16" s="5" t="s">
        <v>1</v>
      </c>
      <c r="G16" s="5" t="s">
        <v>1</v>
      </c>
      <c r="H16" s="5" t="s">
        <v>1</v>
      </c>
      <c r="I16" s="5" t="s">
        <v>1</v>
      </c>
      <c r="J16" s="5" t="s">
        <v>1</v>
      </c>
    </row>
    <row r="17" spans="1:10" ht="15" customHeight="1" x14ac:dyDescent="0.25">
      <c r="A17" s="5" t="s">
        <v>69</v>
      </c>
      <c r="B17" s="5" t="s">
        <v>69</v>
      </c>
      <c r="C17" s="5" t="s">
        <v>69</v>
      </c>
      <c r="D17" s="5" t="s">
        <v>69</v>
      </c>
      <c r="E17" s="5" t="s">
        <v>69</v>
      </c>
      <c r="F17" s="5" t="s">
        <v>69</v>
      </c>
      <c r="G17" s="5" t="s">
        <v>69</v>
      </c>
      <c r="H17" s="5" t="s">
        <v>69</v>
      </c>
      <c r="I17" s="5" t="s">
        <v>69</v>
      </c>
      <c r="J17" s="5" t="s">
        <v>69</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10" t="s">
        <v>117</v>
      </c>
      <c r="B19" s="10" t="s">
        <v>229</v>
      </c>
      <c r="C19" s="10" t="s">
        <v>1</v>
      </c>
      <c r="D19" s="10" t="s">
        <v>1</v>
      </c>
      <c r="E19" s="10" t="s">
        <v>1</v>
      </c>
      <c r="F19" s="10" t="s">
        <v>1</v>
      </c>
      <c r="G19" s="10" t="s">
        <v>1</v>
      </c>
      <c r="H19" s="10" t="s">
        <v>1</v>
      </c>
      <c r="I19" s="10" t="s">
        <v>1</v>
      </c>
      <c r="J19" s="10" t="s">
        <v>1</v>
      </c>
    </row>
    <row r="20" spans="1:10" ht="15" customHeight="1" x14ac:dyDescent="0.25">
      <c r="A20" s="10" t="s">
        <v>230</v>
      </c>
      <c r="B20" s="10" t="s">
        <v>231</v>
      </c>
      <c r="C20" s="10" t="s">
        <v>1</v>
      </c>
      <c r="D20" s="10" t="s">
        <v>1</v>
      </c>
      <c r="E20" s="10" t="s">
        <v>1</v>
      </c>
      <c r="F20" s="10" t="s">
        <v>1</v>
      </c>
      <c r="G20" s="10" t="s">
        <v>1</v>
      </c>
      <c r="H20" s="10" t="s">
        <v>1</v>
      </c>
      <c r="I20" s="10" t="s">
        <v>1</v>
      </c>
      <c r="J20" s="10" t="s">
        <v>1</v>
      </c>
    </row>
  </sheetData>
  <mergeCells count="8">
    <mergeCell ref="B1:B2"/>
    <mergeCell ref="A1:A2"/>
    <mergeCell ref="I1:J1"/>
    <mergeCell ref="G1:H1"/>
    <mergeCell ref="F1:F2"/>
    <mergeCell ref="E1:E2"/>
    <mergeCell ref="D1:D2"/>
    <mergeCell ref="C1:C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outlinePr summaryBelow="0" summaryRight="0"/>
    <pageSetUpPr autoPageBreaks="0" fitToPage="1"/>
  </sheetPr>
  <dimension ref="A1:G31"/>
  <sheetViews>
    <sheetView view="pageBreakPreview" zoomScale="80" zoomScaleNormal="80" zoomScaleSheetLayoutView="80" workbookViewId="0">
      <selection activeCell="D3" sqref="D3:E30"/>
    </sheetView>
  </sheetViews>
  <sheetFormatPr defaultRowHeight="12.75" x14ac:dyDescent="0.2"/>
  <cols>
    <col min="1" max="1" width="6.85546875" customWidth="1"/>
    <col min="2" max="2" width="80" customWidth="1"/>
    <col min="3" max="3" width="10.28515625" customWidth="1"/>
    <col min="4" max="4" width="21.7109375" style="35" customWidth="1"/>
    <col min="5" max="5" width="19" style="35" customWidth="1"/>
  </cols>
  <sheetData>
    <row r="1" spans="1:7" ht="15" customHeight="1" x14ac:dyDescent="0.2">
      <c r="A1" s="12" t="s">
        <v>55</v>
      </c>
      <c r="B1" s="12" t="s">
        <v>56</v>
      </c>
      <c r="C1" s="12" t="s">
        <v>57</v>
      </c>
      <c r="D1" s="29" t="s">
        <v>58</v>
      </c>
      <c r="E1" s="29" t="s">
        <v>59</v>
      </c>
    </row>
    <row r="2" spans="1:7" ht="15" customHeight="1" x14ac:dyDescent="0.25">
      <c r="A2" s="10" t="s">
        <v>61</v>
      </c>
      <c r="B2" s="10" t="s">
        <v>232</v>
      </c>
      <c r="C2" s="10" t="s">
        <v>193</v>
      </c>
      <c r="D2" s="30"/>
      <c r="E2" s="30"/>
    </row>
    <row r="3" spans="1:7" ht="31.5" x14ac:dyDescent="0.25">
      <c r="A3" s="5" t="s">
        <v>9</v>
      </c>
      <c r="B3" s="20" t="s">
        <v>233</v>
      </c>
      <c r="C3" s="5" t="s">
        <v>194</v>
      </c>
      <c r="D3" s="28">
        <v>6.4999999999999997E-3</v>
      </c>
      <c r="E3" s="28">
        <v>6.4999999999999997E-3</v>
      </c>
      <c r="G3" s="47"/>
    </row>
    <row r="4" spans="1:7" ht="31.5" x14ac:dyDescent="0.25">
      <c r="A4" s="5" t="s">
        <v>12</v>
      </c>
      <c r="B4" s="20" t="s">
        <v>234</v>
      </c>
      <c r="C4" s="5" t="s">
        <v>196</v>
      </c>
      <c r="D4" s="28">
        <v>5.0000000000000001E-3</v>
      </c>
      <c r="E4" s="28">
        <v>4.5999999999999999E-3</v>
      </c>
      <c r="G4" s="47"/>
    </row>
    <row r="5" spans="1:7" ht="31.5" x14ac:dyDescent="0.25">
      <c r="A5" s="5" t="s">
        <v>15</v>
      </c>
      <c r="B5" s="20" t="s">
        <v>235</v>
      </c>
      <c r="C5" s="5" t="s">
        <v>197</v>
      </c>
      <c r="D5" s="28">
        <v>6.7000000000000002E-3</v>
      </c>
      <c r="E5" s="28">
        <v>6.3E-3</v>
      </c>
      <c r="G5" s="47"/>
    </row>
    <row r="6" spans="1:7" ht="31.5" x14ac:dyDescent="0.25">
      <c r="A6" s="5" t="s">
        <v>18</v>
      </c>
      <c r="B6" s="20" t="s">
        <v>236</v>
      </c>
      <c r="C6" s="5" t="s">
        <v>237</v>
      </c>
      <c r="D6" s="28">
        <v>1.2999999999999999E-3</v>
      </c>
      <c r="E6" s="28">
        <v>1.2999999999999999E-3</v>
      </c>
      <c r="G6" s="47"/>
    </row>
    <row r="7" spans="1:7" ht="15.75" x14ac:dyDescent="0.25">
      <c r="A7" s="5" t="s">
        <v>21</v>
      </c>
      <c r="B7" s="20" t="s">
        <v>238</v>
      </c>
      <c r="C7" s="5" t="s">
        <v>198</v>
      </c>
      <c r="D7" s="28">
        <v>0</v>
      </c>
      <c r="E7" s="28">
        <v>0</v>
      </c>
      <c r="G7" s="47"/>
    </row>
    <row r="8" spans="1:7" ht="31.5" x14ac:dyDescent="0.25">
      <c r="A8" s="5" t="s">
        <v>24</v>
      </c>
      <c r="B8" s="20" t="s">
        <v>239</v>
      </c>
      <c r="C8" s="5" t="s">
        <v>199</v>
      </c>
      <c r="D8" s="28">
        <v>0</v>
      </c>
      <c r="E8" s="28">
        <v>0</v>
      </c>
      <c r="G8" s="47"/>
    </row>
    <row r="9" spans="1:7" ht="31.5" x14ac:dyDescent="0.25">
      <c r="A9" s="5" t="s">
        <v>27</v>
      </c>
      <c r="B9" s="20" t="s">
        <v>240</v>
      </c>
      <c r="C9" s="5" t="s">
        <v>241</v>
      </c>
      <c r="D9" s="28">
        <v>2.5999999999999999E-3</v>
      </c>
      <c r="E9" s="28">
        <v>3.0000000000000001E-3</v>
      </c>
      <c r="G9" s="47"/>
    </row>
    <row r="10" spans="1:7" ht="15.75" x14ac:dyDescent="0.25">
      <c r="A10" s="5" t="s">
        <v>30</v>
      </c>
      <c r="B10" s="20" t="s">
        <v>242</v>
      </c>
      <c r="C10" s="5" t="s">
        <v>243</v>
      </c>
      <c r="D10" s="28">
        <v>2.2100000000000002E-2</v>
      </c>
      <c r="E10" s="28">
        <v>2.1700000000000001E-2</v>
      </c>
      <c r="G10" s="47"/>
    </row>
    <row r="11" spans="1:7" ht="15.75" x14ac:dyDescent="0.25">
      <c r="A11" s="5" t="s">
        <v>33</v>
      </c>
      <c r="B11" s="20" t="s">
        <v>244</v>
      </c>
      <c r="C11" s="5" t="s">
        <v>245</v>
      </c>
      <c r="D11" s="28">
        <v>0</v>
      </c>
      <c r="E11" s="28">
        <v>0</v>
      </c>
      <c r="G11" s="47"/>
    </row>
    <row r="12" spans="1:7" ht="31.5" x14ac:dyDescent="0.25">
      <c r="A12" s="5" t="s">
        <v>36</v>
      </c>
      <c r="B12" s="20" t="s">
        <v>246</v>
      </c>
      <c r="C12" s="5" t="s">
        <v>204</v>
      </c>
      <c r="D12" s="28">
        <v>0</v>
      </c>
      <c r="E12" s="28">
        <v>0</v>
      </c>
      <c r="G12" s="47"/>
    </row>
    <row r="13" spans="1:7" ht="15.75" x14ac:dyDescent="0.25">
      <c r="A13" s="10" t="s">
        <v>99</v>
      </c>
      <c r="B13" s="21" t="s">
        <v>247</v>
      </c>
      <c r="C13" s="10" t="s">
        <v>205</v>
      </c>
      <c r="D13" s="30"/>
      <c r="E13" s="30"/>
      <c r="G13" s="47"/>
    </row>
    <row r="14" spans="1:7" ht="15.75" x14ac:dyDescent="0.25">
      <c r="A14" s="5" t="s">
        <v>9</v>
      </c>
      <c r="B14" s="20" t="s">
        <v>248</v>
      </c>
      <c r="C14" s="5" t="s">
        <v>207</v>
      </c>
      <c r="D14" s="32">
        <v>56000000000</v>
      </c>
      <c r="E14" s="33">
        <v>56000000000</v>
      </c>
      <c r="G14" s="47"/>
    </row>
    <row r="15" spans="1:7" ht="15.75" x14ac:dyDescent="0.25">
      <c r="A15" s="5" t="s">
        <v>1</v>
      </c>
      <c r="B15" s="20" t="s">
        <v>249</v>
      </c>
      <c r="C15" s="5" t="s">
        <v>250</v>
      </c>
      <c r="D15" s="32">
        <v>56000000000</v>
      </c>
      <c r="E15" s="33">
        <v>56000000000</v>
      </c>
      <c r="G15" s="47"/>
    </row>
    <row r="16" spans="1:7" ht="15.75" x14ac:dyDescent="0.25">
      <c r="A16" s="5" t="s">
        <v>1</v>
      </c>
      <c r="B16" s="20" t="s">
        <v>251</v>
      </c>
      <c r="C16" s="5" t="s">
        <v>252</v>
      </c>
      <c r="D16" s="32">
        <v>5600000</v>
      </c>
      <c r="E16" s="33">
        <v>5600000</v>
      </c>
      <c r="G16" s="47"/>
    </row>
    <row r="17" spans="1:7" ht="15.75" x14ac:dyDescent="0.25">
      <c r="A17" s="5" t="s">
        <v>12</v>
      </c>
      <c r="B17" s="20" t="s">
        <v>253</v>
      </c>
      <c r="C17" s="5" t="s">
        <v>254</v>
      </c>
      <c r="D17" s="33">
        <v>0</v>
      </c>
      <c r="E17" s="40">
        <v>0</v>
      </c>
      <c r="G17" s="47"/>
    </row>
    <row r="18" spans="1:7" ht="15.75" x14ac:dyDescent="0.25">
      <c r="A18" s="5" t="s">
        <v>1</v>
      </c>
      <c r="B18" s="20" t="s">
        <v>255</v>
      </c>
      <c r="C18" s="5" t="s">
        <v>256</v>
      </c>
      <c r="D18" s="33">
        <v>0</v>
      </c>
      <c r="E18" s="40">
        <v>0</v>
      </c>
      <c r="G18" s="47"/>
    </row>
    <row r="19" spans="1:7" ht="15.75" x14ac:dyDescent="0.25">
      <c r="A19" s="5"/>
      <c r="B19" s="20" t="s">
        <v>257</v>
      </c>
      <c r="C19" s="5" t="s">
        <v>241</v>
      </c>
      <c r="D19" s="33">
        <v>0</v>
      </c>
      <c r="E19" s="40">
        <v>0</v>
      </c>
      <c r="G19" s="47"/>
    </row>
    <row r="20" spans="1:7" ht="15.75" x14ac:dyDescent="0.25">
      <c r="A20" s="5"/>
      <c r="B20" s="20" t="s">
        <v>258</v>
      </c>
      <c r="C20" s="5" t="s">
        <v>243</v>
      </c>
      <c r="D20" s="33">
        <v>0</v>
      </c>
      <c r="E20" s="33">
        <v>0</v>
      </c>
      <c r="G20" s="47"/>
    </row>
    <row r="21" spans="1:7" ht="15.75" x14ac:dyDescent="0.25">
      <c r="A21" s="5"/>
      <c r="B21" s="20" t="s">
        <v>259</v>
      </c>
      <c r="C21" s="5" t="s">
        <v>245</v>
      </c>
      <c r="D21" s="33">
        <v>0</v>
      </c>
      <c r="E21" s="33">
        <v>0</v>
      </c>
      <c r="G21" s="47"/>
    </row>
    <row r="22" spans="1:7" ht="15.75" x14ac:dyDescent="0.25">
      <c r="A22" s="5" t="s">
        <v>15</v>
      </c>
      <c r="B22" s="20" t="s">
        <v>260</v>
      </c>
      <c r="C22" s="5" t="s">
        <v>261</v>
      </c>
      <c r="D22" s="32">
        <v>56000000000</v>
      </c>
      <c r="E22" s="40">
        <v>56000000000</v>
      </c>
      <c r="G22" s="47"/>
    </row>
    <row r="23" spans="1:7" ht="15.75" x14ac:dyDescent="0.25">
      <c r="A23" s="5" t="s">
        <v>1</v>
      </c>
      <c r="B23" s="20" t="s">
        <v>262</v>
      </c>
      <c r="C23" s="5" t="s">
        <v>263</v>
      </c>
      <c r="D23" s="32">
        <v>56000000000</v>
      </c>
      <c r="E23" s="40">
        <v>56000000000</v>
      </c>
      <c r="G23" s="47"/>
    </row>
    <row r="24" spans="1:7" ht="15.75" x14ac:dyDescent="0.25">
      <c r="A24" s="5" t="s">
        <v>1</v>
      </c>
      <c r="B24" s="20" t="s">
        <v>264</v>
      </c>
      <c r="C24" s="5" t="s">
        <v>265</v>
      </c>
      <c r="D24" s="32">
        <v>5600000</v>
      </c>
      <c r="E24" s="40">
        <v>5600000</v>
      </c>
      <c r="G24" s="47"/>
    </row>
    <row r="25" spans="1:7" ht="31.5" x14ac:dyDescent="0.25">
      <c r="A25" s="5" t="s">
        <v>18</v>
      </c>
      <c r="B25" s="20" t="s">
        <v>266</v>
      </c>
      <c r="C25" s="5" t="s">
        <v>267</v>
      </c>
      <c r="D25" s="28">
        <v>0.85780000000000001</v>
      </c>
      <c r="E25" s="28">
        <v>0.85780000000000001</v>
      </c>
      <c r="G25" s="47"/>
    </row>
    <row r="26" spans="1:7" ht="15.75" x14ac:dyDescent="0.25">
      <c r="A26" s="5" t="s">
        <v>21</v>
      </c>
      <c r="B26" s="20" t="s">
        <v>268</v>
      </c>
      <c r="C26" s="5" t="s">
        <v>269</v>
      </c>
      <c r="D26" s="28">
        <v>0.99970000000000003</v>
      </c>
      <c r="E26" s="28">
        <v>0.99970000000000003</v>
      </c>
      <c r="G26" s="47"/>
    </row>
    <row r="27" spans="1:7" ht="15.75" x14ac:dyDescent="0.25">
      <c r="A27" s="5" t="s">
        <v>24</v>
      </c>
      <c r="B27" s="20" t="s">
        <v>270</v>
      </c>
      <c r="C27" s="5" t="s">
        <v>271</v>
      </c>
      <c r="D27" s="28">
        <v>0</v>
      </c>
      <c r="E27" s="28">
        <v>0</v>
      </c>
      <c r="G27" s="47"/>
    </row>
    <row r="28" spans="1:7" ht="15.75" x14ac:dyDescent="0.25">
      <c r="A28" s="5" t="s">
        <v>27</v>
      </c>
      <c r="B28" s="20" t="s">
        <v>272</v>
      </c>
      <c r="C28" s="5" t="s">
        <v>273</v>
      </c>
      <c r="D28" s="32">
        <v>12234.57</v>
      </c>
      <c r="E28" s="32">
        <v>12276.01</v>
      </c>
      <c r="G28" s="47"/>
    </row>
    <row r="29" spans="1:7" ht="15.75" x14ac:dyDescent="0.25">
      <c r="A29" s="5" t="s">
        <v>30</v>
      </c>
      <c r="B29" s="20" t="s">
        <v>274</v>
      </c>
      <c r="C29" s="5" t="s">
        <v>275</v>
      </c>
      <c r="D29" s="40">
        <v>12280</v>
      </c>
      <c r="E29" s="40">
        <v>11850</v>
      </c>
      <c r="G29" s="47"/>
    </row>
    <row r="30" spans="1:7" ht="31.5" x14ac:dyDescent="0.25">
      <c r="A30" s="5" t="s">
        <v>33</v>
      </c>
      <c r="B30" s="20" t="s">
        <v>276</v>
      </c>
      <c r="C30" s="5" t="s">
        <v>277</v>
      </c>
      <c r="D30" s="31">
        <v>28</v>
      </c>
      <c r="E30" s="31">
        <v>26</v>
      </c>
      <c r="G30" s="47"/>
    </row>
    <row r="31" spans="1:7" ht="15" customHeight="1" x14ac:dyDescent="0.25">
      <c r="A31" s="16" t="s">
        <v>203</v>
      </c>
      <c r="B31" s="16" t="s">
        <v>203</v>
      </c>
      <c r="C31" s="16" t="s">
        <v>203</v>
      </c>
      <c r="D31" s="34"/>
      <c r="E31" s="34"/>
    </row>
  </sheetData>
  <pageMargins left="0.75" right="0.75" top="1" bottom="1" header="0.5" footer="0.5"/>
  <pageSetup scale="66"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H5"/>
  <sheetViews>
    <sheetView workbookViewId="0">
      <selection activeCell="L45" sqref="L45"/>
    </sheetView>
  </sheetViews>
  <sheetFormatPr defaultRowHeight="12.75" x14ac:dyDescent="0.2"/>
  <cols>
    <col min="1" max="1" width="6.85546875" customWidth="1"/>
    <col min="2" max="3" width="22.140625" customWidth="1"/>
    <col min="4" max="4" width="16.28515625" customWidth="1"/>
    <col min="5" max="5" width="17.7109375" customWidth="1"/>
    <col min="6" max="6" width="18.5703125" customWidth="1"/>
    <col min="7" max="8" width="13.7109375" customWidth="1"/>
  </cols>
  <sheetData>
    <row r="1" spans="1:8" ht="15" customHeight="1" x14ac:dyDescent="0.2">
      <c r="A1" s="56" t="s">
        <v>6</v>
      </c>
      <c r="B1" s="56" t="s">
        <v>278</v>
      </c>
      <c r="C1" s="56" t="s">
        <v>279</v>
      </c>
      <c r="D1" s="56" t="s">
        <v>280</v>
      </c>
      <c r="E1" s="56"/>
      <c r="F1" s="56"/>
      <c r="G1" s="56" t="s">
        <v>281</v>
      </c>
      <c r="H1" s="56" t="s">
        <v>282</v>
      </c>
    </row>
    <row r="2" spans="1:8" ht="15" customHeight="1" x14ac:dyDescent="0.2">
      <c r="A2" s="56"/>
      <c r="B2" s="56"/>
      <c r="C2" s="56"/>
      <c r="D2" s="9" t="s">
        <v>283</v>
      </c>
      <c r="E2" s="9" t="s">
        <v>284</v>
      </c>
      <c r="F2" s="9" t="s">
        <v>285</v>
      </c>
      <c r="G2" s="56"/>
      <c r="H2" s="56"/>
    </row>
    <row r="3" spans="1:8" ht="15" customHeight="1" x14ac:dyDescent="0.2">
      <c r="A3" s="9" t="s">
        <v>286</v>
      </c>
      <c r="B3" s="9" t="s">
        <v>287</v>
      </c>
      <c r="C3" s="9" t="s">
        <v>288</v>
      </c>
      <c r="D3" s="9" t="s">
        <v>289</v>
      </c>
      <c r="E3" s="9" t="s">
        <v>290</v>
      </c>
      <c r="F3" s="9" t="s">
        <v>291</v>
      </c>
      <c r="G3" s="9" t="s">
        <v>292</v>
      </c>
      <c r="H3" s="9" t="s">
        <v>293</v>
      </c>
    </row>
    <row r="4" spans="1:8" ht="15" customHeight="1" x14ac:dyDescent="0.25">
      <c r="A4" s="5" t="s">
        <v>69</v>
      </c>
      <c r="B4" s="5" t="s">
        <v>69</v>
      </c>
      <c r="C4" s="5" t="s">
        <v>69</v>
      </c>
      <c r="D4" s="5" t="s">
        <v>69</v>
      </c>
      <c r="E4" s="5" t="s">
        <v>69</v>
      </c>
      <c r="F4" s="5" t="s">
        <v>69</v>
      </c>
      <c r="G4" s="5" t="s">
        <v>69</v>
      </c>
      <c r="H4" s="5" t="s">
        <v>69</v>
      </c>
    </row>
    <row r="5" spans="1:8" ht="15" customHeight="1" x14ac:dyDescent="0.25">
      <c r="A5" s="5"/>
      <c r="B5" s="5" t="s">
        <v>191</v>
      </c>
      <c r="C5" s="5" t="s">
        <v>1</v>
      </c>
      <c r="D5" s="5" t="s">
        <v>1</v>
      </c>
      <c r="E5" s="5" t="s">
        <v>1</v>
      </c>
      <c r="F5" s="5" t="s">
        <v>1</v>
      </c>
      <c r="G5" s="5" t="s">
        <v>1</v>
      </c>
      <c r="H5" s="5" t="s">
        <v>1</v>
      </c>
    </row>
  </sheetData>
  <mergeCells count="6">
    <mergeCell ref="H1:H2"/>
    <mergeCell ref="G1:G2"/>
    <mergeCell ref="A1:A2"/>
    <mergeCell ref="B1:B2"/>
    <mergeCell ref="C1:C2"/>
    <mergeCell ref="D1:F1"/>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F14"/>
  <sheetViews>
    <sheetView topLeftCell="A6" workbookViewId="0">
      <selection activeCell="M43" sqref="M43:M47"/>
    </sheetView>
  </sheetViews>
  <sheetFormatPr defaultRowHeight="12.75" x14ac:dyDescent="0.2"/>
  <cols>
    <col min="1" max="1" width="6.85546875" customWidth="1"/>
    <col min="2" max="2" width="40" customWidth="1"/>
    <col min="3" max="3" width="21.42578125" customWidth="1"/>
    <col min="4" max="4" width="18.42578125" customWidth="1"/>
    <col min="5" max="5" width="18" customWidth="1"/>
    <col min="6" max="6" width="16.42578125" customWidth="1"/>
  </cols>
  <sheetData>
    <row r="1" spans="1:6" ht="15" customHeight="1" x14ac:dyDescent="0.2">
      <c r="A1" s="56" t="s">
        <v>6</v>
      </c>
      <c r="B1" s="56" t="s">
        <v>294</v>
      </c>
      <c r="C1" s="56" t="s">
        <v>295</v>
      </c>
      <c r="D1" s="56" t="s">
        <v>296</v>
      </c>
      <c r="E1" s="56"/>
      <c r="F1" s="56"/>
    </row>
    <row r="2" spans="1:6" ht="15" customHeight="1" x14ac:dyDescent="0.2">
      <c r="A2" s="56"/>
      <c r="B2" s="56"/>
      <c r="C2" s="56"/>
      <c r="D2" s="9" t="s">
        <v>297</v>
      </c>
      <c r="E2" s="9" t="s">
        <v>298</v>
      </c>
      <c r="F2" s="9" t="s">
        <v>299</v>
      </c>
    </row>
    <row r="3" spans="1:6" ht="15" customHeight="1" x14ac:dyDescent="0.25">
      <c r="A3" s="10" t="s">
        <v>61</v>
      </c>
      <c r="B3" s="10" t="s">
        <v>300</v>
      </c>
      <c r="C3" s="10" t="s">
        <v>1</v>
      </c>
      <c r="D3" s="10" t="s">
        <v>1</v>
      </c>
      <c r="E3" s="10" t="s">
        <v>1</v>
      </c>
      <c r="F3" s="10" t="s">
        <v>1</v>
      </c>
    </row>
    <row r="4" spans="1:6" ht="15" customHeight="1" x14ac:dyDescent="0.25">
      <c r="A4" s="5" t="s">
        <v>69</v>
      </c>
      <c r="B4" s="5" t="s">
        <v>69</v>
      </c>
      <c r="C4" s="5" t="s">
        <v>69</v>
      </c>
      <c r="D4" s="5" t="s">
        <v>69</v>
      </c>
      <c r="E4" s="5" t="s">
        <v>69</v>
      </c>
      <c r="F4" s="5" t="s">
        <v>69</v>
      </c>
    </row>
    <row r="5" spans="1:6" ht="15" customHeight="1" x14ac:dyDescent="0.25">
      <c r="A5" s="5" t="s">
        <v>1</v>
      </c>
      <c r="B5" s="5" t="s">
        <v>1</v>
      </c>
      <c r="C5" s="5" t="s">
        <v>1</v>
      </c>
      <c r="D5" s="5" t="s">
        <v>1</v>
      </c>
      <c r="E5" s="5" t="s">
        <v>1</v>
      </c>
      <c r="F5" s="5" t="s">
        <v>1</v>
      </c>
    </row>
    <row r="6" spans="1:6" ht="15" customHeight="1" x14ac:dyDescent="0.25">
      <c r="A6" s="10" t="s">
        <v>99</v>
      </c>
      <c r="B6" s="10" t="s">
        <v>301</v>
      </c>
      <c r="C6" s="10" t="s">
        <v>1</v>
      </c>
      <c r="D6" s="10" t="s">
        <v>1</v>
      </c>
      <c r="E6" s="10" t="s">
        <v>1</v>
      </c>
      <c r="F6" s="10" t="s">
        <v>1</v>
      </c>
    </row>
    <row r="7" spans="1:6" ht="15" customHeight="1" x14ac:dyDescent="0.25">
      <c r="A7" s="5" t="s">
        <v>69</v>
      </c>
      <c r="B7" s="5" t="s">
        <v>69</v>
      </c>
      <c r="C7" s="5" t="s">
        <v>69</v>
      </c>
      <c r="D7" s="5" t="s">
        <v>69</v>
      </c>
      <c r="E7" s="5" t="s">
        <v>69</v>
      </c>
      <c r="F7" s="5" t="s">
        <v>69</v>
      </c>
    </row>
    <row r="8" spans="1:6" ht="15" customHeight="1" x14ac:dyDescent="0.25">
      <c r="A8" s="5" t="s">
        <v>1</v>
      </c>
      <c r="B8" s="5" t="s">
        <v>1</v>
      </c>
      <c r="C8" s="5" t="s">
        <v>1</v>
      </c>
      <c r="D8" s="5" t="s">
        <v>1</v>
      </c>
      <c r="E8" s="5" t="s">
        <v>1</v>
      </c>
      <c r="F8" s="5" t="s">
        <v>1</v>
      </c>
    </row>
    <row r="9" spans="1:6" ht="15" customHeight="1" x14ac:dyDescent="0.25">
      <c r="A9" s="10" t="s">
        <v>114</v>
      </c>
      <c r="B9" s="10" t="s">
        <v>302</v>
      </c>
      <c r="C9" s="10" t="s">
        <v>1</v>
      </c>
      <c r="D9" s="10" t="s">
        <v>1</v>
      </c>
      <c r="E9" s="10" t="s">
        <v>1</v>
      </c>
      <c r="F9" s="10" t="s">
        <v>1</v>
      </c>
    </row>
    <row r="10" spans="1:6" ht="15" customHeight="1" x14ac:dyDescent="0.25">
      <c r="A10" s="5" t="s">
        <v>69</v>
      </c>
      <c r="B10" s="5" t="s">
        <v>69</v>
      </c>
      <c r="C10" s="5" t="s">
        <v>69</v>
      </c>
      <c r="D10" s="5" t="s">
        <v>69</v>
      </c>
      <c r="E10" s="5" t="s">
        <v>69</v>
      </c>
      <c r="F10" s="5" t="s">
        <v>69</v>
      </c>
    </row>
    <row r="11" spans="1:6" ht="15" customHeight="1" x14ac:dyDescent="0.25">
      <c r="A11" s="5" t="s">
        <v>1</v>
      </c>
      <c r="B11" s="5" t="s">
        <v>1</v>
      </c>
      <c r="C11" s="5" t="s">
        <v>1</v>
      </c>
      <c r="D11" s="5" t="s">
        <v>1</v>
      </c>
      <c r="E11" s="5" t="s">
        <v>1</v>
      </c>
      <c r="F11" s="5" t="s">
        <v>1</v>
      </c>
    </row>
    <row r="12" spans="1:6" ht="15" customHeight="1" x14ac:dyDescent="0.25">
      <c r="A12" s="10" t="s">
        <v>117</v>
      </c>
      <c r="B12" s="10" t="s">
        <v>303</v>
      </c>
      <c r="C12" s="10" t="s">
        <v>1</v>
      </c>
      <c r="D12" s="10" t="s">
        <v>1</v>
      </c>
      <c r="E12" s="10" t="s">
        <v>1</v>
      </c>
      <c r="F12" s="10" t="s">
        <v>1</v>
      </c>
    </row>
    <row r="13" spans="1:6" ht="15" customHeight="1" x14ac:dyDescent="0.25">
      <c r="A13" s="10" t="s">
        <v>120</v>
      </c>
      <c r="B13" s="10" t="s">
        <v>304</v>
      </c>
      <c r="C13" s="10" t="s">
        <v>1</v>
      </c>
      <c r="D13" s="10" t="s">
        <v>1</v>
      </c>
      <c r="E13" s="10" t="s">
        <v>1</v>
      </c>
      <c r="F13" s="10" t="s">
        <v>1</v>
      </c>
    </row>
    <row r="14" spans="1:6" ht="15" customHeight="1" x14ac:dyDescent="0.25">
      <c r="A14" s="10" t="s">
        <v>117</v>
      </c>
      <c r="B14" s="10" t="s">
        <v>305</v>
      </c>
      <c r="C14" s="10" t="s">
        <v>1</v>
      </c>
      <c r="D14" s="10" t="s">
        <v>1</v>
      </c>
      <c r="E14" s="10" t="s">
        <v>1</v>
      </c>
      <c r="F14" s="10" t="s">
        <v>1</v>
      </c>
    </row>
  </sheetData>
  <mergeCells count="4">
    <mergeCell ref="D1:F1"/>
    <mergeCell ref="C1:C2"/>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D15"/>
  <sheetViews>
    <sheetView workbookViewId="0">
      <selection activeCell="C30" sqref="C30:C31"/>
    </sheetView>
  </sheetViews>
  <sheetFormatPr defaultRowHeight="12.75" x14ac:dyDescent="0.2"/>
  <cols>
    <col min="1" max="1" width="6.85546875" customWidth="1"/>
    <col min="2" max="2" width="53.140625" customWidth="1"/>
    <col min="3" max="3" width="16.28515625" customWidth="1"/>
    <col min="4" max="4" width="14.7109375" customWidth="1"/>
  </cols>
  <sheetData>
    <row r="1" spans="1:4" ht="15" customHeight="1" x14ac:dyDescent="0.2">
      <c r="A1" s="56" t="s">
        <v>6</v>
      </c>
      <c r="B1" s="56" t="s">
        <v>56</v>
      </c>
      <c r="C1" s="56" t="s">
        <v>306</v>
      </c>
      <c r="D1" s="56"/>
    </row>
    <row r="2" spans="1:4" ht="15" customHeight="1" x14ac:dyDescent="0.2">
      <c r="A2" s="56"/>
      <c r="B2" s="56"/>
      <c r="C2" s="9" t="s">
        <v>307</v>
      </c>
      <c r="D2" s="9" t="s">
        <v>308</v>
      </c>
    </row>
    <row r="3" spans="1:4" ht="15" customHeight="1" x14ac:dyDescent="0.25">
      <c r="A3" s="5" t="s">
        <v>9</v>
      </c>
      <c r="B3" s="5" t="s">
        <v>309</v>
      </c>
      <c r="C3" s="5" t="s">
        <v>1</v>
      </c>
      <c r="D3" s="5" t="s">
        <v>1</v>
      </c>
    </row>
    <row r="4" spans="1:4" ht="15" customHeight="1" x14ac:dyDescent="0.25">
      <c r="A4" s="5" t="s">
        <v>69</v>
      </c>
      <c r="B4" s="5" t="s">
        <v>69</v>
      </c>
      <c r="C4" s="5" t="s">
        <v>69</v>
      </c>
      <c r="D4" s="5" t="s">
        <v>69</v>
      </c>
    </row>
    <row r="5" spans="1:4" ht="15" customHeight="1" x14ac:dyDescent="0.25">
      <c r="A5" s="5" t="s">
        <v>1</v>
      </c>
      <c r="B5" s="5"/>
      <c r="C5" s="5" t="s">
        <v>1</v>
      </c>
      <c r="D5" s="5" t="s">
        <v>1</v>
      </c>
    </row>
    <row r="6" spans="1:4" ht="15" customHeight="1" x14ac:dyDescent="0.25">
      <c r="A6" s="5" t="s">
        <v>99</v>
      </c>
      <c r="B6" s="5" t="s">
        <v>310</v>
      </c>
      <c r="C6" s="5" t="s">
        <v>1</v>
      </c>
      <c r="D6" s="5" t="s">
        <v>1</v>
      </c>
    </row>
    <row r="7" spans="1:4" ht="15" customHeight="1" x14ac:dyDescent="0.25">
      <c r="A7" s="5" t="s">
        <v>69</v>
      </c>
      <c r="B7" s="5" t="s">
        <v>69</v>
      </c>
      <c r="C7" s="5" t="s">
        <v>69</v>
      </c>
      <c r="D7" s="5" t="s">
        <v>69</v>
      </c>
    </row>
    <row r="8" spans="1:4" ht="15" customHeight="1" x14ac:dyDescent="0.25">
      <c r="A8" s="5" t="s">
        <v>1</v>
      </c>
      <c r="B8" s="5"/>
      <c r="C8" s="5" t="s">
        <v>1</v>
      </c>
      <c r="D8" s="5" t="s">
        <v>1</v>
      </c>
    </row>
    <row r="9" spans="1:4" ht="15" customHeight="1" x14ac:dyDescent="0.25">
      <c r="A9" s="5" t="s">
        <v>114</v>
      </c>
      <c r="B9" s="5" t="s">
        <v>311</v>
      </c>
      <c r="C9" s="5" t="s">
        <v>1</v>
      </c>
      <c r="D9" s="5" t="s">
        <v>1</v>
      </c>
    </row>
    <row r="10" spans="1:4" ht="15" customHeight="1" x14ac:dyDescent="0.25">
      <c r="A10" s="5" t="s">
        <v>69</v>
      </c>
      <c r="B10" s="5" t="s">
        <v>69</v>
      </c>
      <c r="C10" s="5" t="s">
        <v>69</v>
      </c>
      <c r="D10" s="5" t="s">
        <v>69</v>
      </c>
    </row>
    <row r="11" spans="1:4" ht="15" customHeight="1" x14ac:dyDescent="0.25">
      <c r="A11" s="5" t="s">
        <v>1</v>
      </c>
      <c r="B11" s="5"/>
      <c r="C11" s="5" t="s">
        <v>1</v>
      </c>
      <c r="D11" s="5" t="s">
        <v>1</v>
      </c>
    </row>
    <row r="12" spans="1:4" ht="15" customHeight="1" x14ac:dyDescent="0.25">
      <c r="A12" s="5" t="s">
        <v>117</v>
      </c>
      <c r="B12" s="5" t="s">
        <v>312</v>
      </c>
      <c r="C12" s="5" t="s">
        <v>1</v>
      </c>
      <c r="D12" s="5" t="s">
        <v>1</v>
      </c>
    </row>
    <row r="13" spans="1:4" ht="15" customHeight="1" x14ac:dyDescent="0.25">
      <c r="A13" s="5" t="s">
        <v>69</v>
      </c>
      <c r="B13" s="5" t="s">
        <v>69</v>
      </c>
      <c r="C13" s="5" t="s">
        <v>69</v>
      </c>
      <c r="D13" s="5" t="s">
        <v>69</v>
      </c>
    </row>
    <row r="14" spans="1:4" ht="15" customHeight="1" x14ac:dyDescent="0.25">
      <c r="A14" s="5" t="s">
        <v>1</v>
      </c>
      <c r="B14" s="5"/>
      <c r="C14" s="5" t="s">
        <v>1</v>
      </c>
      <c r="D14" s="5" t="s">
        <v>1</v>
      </c>
    </row>
    <row r="15" spans="1:4" ht="15" customHeight="1" x14ac:dyDescent="0.25">
      <c r="A15" s="57" t="s">
        <v>313</v>
      </c>
      <c r="B15" s="57"/>
      <c r="C15" s="57"/>
      <c r="D15" s="57"/>
    </row>
  </sheetData>
  <mergeCells count="4">
    <mergeCell ref="C1:D1"/>
    <mergeCell ref="B1:B2"/>
    <mergeCell ref="A1:A2"/>
    <mergeCell ref="A15:D15"/>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J/YG1fbmNtZvtOaUHJk2Wa+R2F0=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CKYgLzhBO3DoBFvkgL6eTisQ9EU=</DigestValue>
    </Reference>
  </SignedInfo>
  <SignatureValue>IktJFIuSuIMjn0bdF8w51R6xq7+4HHxCMyLztVG3mFI+z3Q66eHNVcInZsOpYtuq0QML8cNeUPh4
8PO1EQkbUpsRYJbPZ7Spiw9nabgMC63sVW/Q0ZH9msW8xzPqm/K3Ppp9c/gg5Dw/p0SOr0R6Y4Fr
ydz8zPTBD+hwMbA+w/ueaIKziqyeSH/a0nY9Ac5QEVzlA5dAmrvfpN0h0M+N8y7GJUOOczJPs5Qg
E5zVI4CtpbfGp6OtZ+q+OuIOYxIjdW6/EHNUccaUChe7i3EpuhxA+sJiN6QBhW4aYUnWbfe1w2bZ
cHfVxoiYD0LQhlyzSVLu3Ow2fH9vAc8zwTVvhQ==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0hSowTl+uA5QFjeawHOUbd0HMU8=</DigestValue>
      </Reference>
      <Reference URI="/xl/comments2.xml?ContentType=application/vnd.openxmlformats-officedocument.spreadsheetml.comments+xml">
        <DigestMethod Algorithm="http://www.w3.org/2000/09/xmldsig#sha1"/>
        <DigestValue>ei7nQMSlX2E1CJIh9ggO+Sjsw4A=</DigestValue>
      </Reference>
      <Reference URI="/xl/worksheets/sheet5.xml?ContentType=application/vnd.openxmlformats-officedocument.spreadsheetml.worksheet+xml">
        <DigestMethod Algorithm="http://www.w3.org/2000/09/xmldsig#sha1"/>
        <DigestValue>D4W5ieVbkatgtP4wN3ju3U2MQfw=</DigestValue>
      </Reference>
      <Reference URI="/xl/printerSettings/printerSettings5.bin?ContentType=application/vnd.openxmlformats-officedocument.spreadsheetml.printerSettings">
        <DigestMethod Algorithm="http://www.w3.org/2000/09/xmldsig#sha1"/>
        <DigestValue>vvKyYHTqVP7sAdyHdt57hb6gaE8=</DigestValue>
      </Reference>
      <Reference URI="/xl/worksheets/sheet6.xml?ContentType=application/vnd.openxmlformats-officedocument.spreadsheetml.worksheet+xml">
        <DigestMethod Algorithm="http://www.w3.org/2000/09/xmldsig#sha1"/>
        <DigestValue>FsLdGxDagJRI2KsMTbW4tgBuhAE=</DigestValue>
      </Reference>
      <Reference URI="/xl/worksheets/sheet10.xml?ContentType=application/vnd.openxmlformats-officedocument.spreadsheetml.worksheet+xml">
        <DigestMethod Algorithm="http://www.w3.org/2000/09/xmldsig#sha1"/>
        <DigestValue>XM7CBkVXU5baGZdw4HCHssCaqSU=</DigestValue>
      </Reference>
      <Reference URI="/xl/comments8.xml?ContentType=application/vnd.openxmlformats-officedocument.spreadsheetml.comments+xml">
        <DigestMethod Algorithm="http://www.w3.org/2000/09/xmldsig#sha1"/>
        <DigestValue>79XpJkqnnys5akYe/9oBRlZCeyg=</DigestValue>
      </Reference>
      <Reference URI="/xl/worksheets/sheet12.xml?ContentType=application/vnd.openxmlformats-officedocument.spreadsheetml.worksheet+xml">
        <DigestMethod Algorithm="http://www.w3.org/2000/09/xmldsig#sha1"/>
        <DigestValue>UdQ0c0dfkmWPFZA99yiXV6ik6jw=</DigestValue>
      </Reference>
      <Reference URI="/xl/drawings/vmlDrawing4.vml?ContentType=application/vnd.openxmlformats-officedocument.vmlDrawing">
        <DigestMethod Algorithm="http://www.w3.org/2000/09/xmldsig#sha1"/>
        <DigestValue>12RvIl9DEHdaI41/luACvZr8XQw=</DigestValue>
      </Reference>
      <Reference URI="/xl/sharedStrings.xml?ContentType=application/vnd.openxmlformats-officedocument.spreadsheetml.sharedStrings+xml">
        <DigestMethod Algorithm="http://www.w3.org/2000/09/xmldsig#sha1"/>
        <DigestValue>u4bJZOg9I8P5v13lsnjuJNLKdZQ=</DigestValue>
      </Reference>
      <Reference URI="/xl/styles.xml?ContentType=application/vnd.openxmlformats-officedocument.spreadsheetml.styles+xml">
        <DigestMethod Algorithm="http://www.w3.org/2000/09/xmldsig#sha1"/>
        <DigestValue>pYIo9tGN2T4CZyRdGgKqOSRAAog=</DigestValue>
      </Reference>
      <Reference URI="/xl/comments3.xml?ContentType=application/vnd.openxmlformats-officedocument.spreadsheetml.comments+xml">
        <DigestMethod Algorithm="http://www.w3.org/2000/09/xmldsig#sha1"/>
        <DigestValue>DLWTwh171LT3hANrHcAQjejFHR4=</DigestValue>
      </Reference>
      <Reference URI="/xl/worksheets/sheet11.xml?ContentType=application/vnd.openxmlformats-officedocument.spreadsheetml.worksheet+xml">
        <DigestMethod Algorithm="http://www.w3.org/2000/09/xmldsig#sha1"/>
        <DigestValue>DQ2XvbCSWWKlYwbhv9May+3q63c=</DigestValue>
      </Reference>
      <Reference URI="/xl/comments5.xml?ContentType=application/vnd.openxmlformats-officedocument.spreadsheetml.comments+xml">
        <DigestMethod Algorithm="http://www.w3.org/2000/09/xmldsig#sha1"/>
        <DigestValue>Pt8uPwEk4GzvMvjP+qXD/3d5hvw=</DigestValue>
      </Reference>
      <Reference URI="/xl/printerSettings/printerSettings2.bin?ContentType=application/vnd.openxmlformats-officedocument.spreadsheetml.printerSettings">
        <DigestMethod Algorithm="http://www.w3.org/2000/09/xmldsig#sha1"/>
        <DigestValue>vvKyYHTqVP7sAdyHdt57hb6gaE8=</DigestValue>
      </Reference>
      <Reference URI="/xl/comments4.xml?ContentType=application/vnd.openxmlformats-officedocument.spreadsheetml.comments+xml">
        <DigestMethod Algorithm="http://www.w3.org/2000/09/xmldsig#sha1"/>
        <DigestValue>GxjkVjgtIPrzNE4FmSX7A5VQr0k=</DigestValue>
      </Reference>
      <Reference URI="/xl/drawings/vmlDrawing3.vml?ContentType=application/vnd.openxmlformats-officedocument.vmlDrawing">
        <DigestMethod Algorithm="http://www.w3.org/2000/09/xmldsig#sha1"/>
        <DigestValue>+tfUgvbu2kFcPWRlC29ngVrymTM=</DigestValue>
      </Reference>
      <Reference URI="/xl/comments7.xml?ContentType=application/vnd.openxmlformats-officedocument.spreadsheetml.comments+xml">
        <DigestMethod Algorithm="http://www.w3.org/2000/09/xmldsig#sha1"/>
        <DigestValue>heFLV2p+bxClp9rAmwqzLybe+sc=</DigestValue>
      </Reference>
      <Reference URI="/xl/worksheets/sheet9.xml?ContentType=application/vnd.openxmlformats-officedocument.spreadsheetml.worksheet+xml">
        <DigestMethod Algorithm="http://www.w3.org/2000/09/xmldsig#sha1"/>
        <DigestValue>xDKkdUkkvk0INI8z696EWBYWkdo=</DigestValue>
      </Reference>
      <Reference URI="/xl/printerSettings/printerSettings4.bin?ContentType=application/vnd.openxmlformats-officedocument.spreadsheetml.printerSettings">
        <DigestMethod Algorithm="http://www.w3.org/2000/09/xmldsig#sha1"/>
        <DigestValue>vvKyYHTqVP7sAdyHdt57hb6gaE8=</DigestValue>
      </Reference>
      <Reference URI="/xl/worksheets/sheet8.xml?ContentType=application/vnd.openxmlformats-officedocument.spreadsheetml.worksheet+xml">
        <DigestMethod Algorithm="http://www.w3.org/2000/09/xmldsig#sha1"/>
        <DigestValue>WqzjZ92+1/DNWxTUCu35Xs3hmGg=</DigestValue>
      </Reference>
      <Reference URI="/xl/comments6.xml?ContentType=application/vnd.openxmlformats-officedocument.spreadsheetml.comments+xml">
        <DigestMethod Algorithm="http://www.w3.org/2000/09/xmldsig#sha1"/>
        <DigestValue>0zM6MiljdCchIul1/YOan4CDrTE=</DigestValue>
      </Reference>
      <Reference URI="/xl/worksheets/sheet7.xml?ContentType=application/vnd.openxmlformats-officedocument.spreadsheetml.worksheet+xml">
        <DigestMethod Algorithm="http://www.w3.org/2000/09/xmldsig#sha1"/>
        <DigestValue>fFC2ZrYjv+lZ9sm4VDpfupXMcbE=</DigestValue>
      </Reference>
      <Reference URI="/xl/theme/theme1.xml?ContentType=application/vnd.openxmlformats-officedocument.theme+xml">
        <DigestMethod Algorithm="http://www.w3.org/2000/09/xmldsig#sha1"/>
        <DigestValue>ws0gcdu2aM8dJ36PXh4TC2naUx4=</DigestValue>
      </Reference>
      <Reference URI="/xl/worksheets/sheet14.xml?ContentType=application/vnd.openxmlformats-officedocument.spreadsheetml.worksheet+xml">
        <DigestMethod Algorithm="http://www.w3.org/2000/09/xmldsig#sha1"/>
        <DigestValue>758IOyYn1xbtNzaV/AeR1cfpvcw=</DigestValue>
      </Reference>
      <Reference URI="/xl/comments9.xml?ContentType=application/vnd.openxmlformats-officedocument.spreadsheetml.comments+xml">
        <DigestMethod Algorithm="http://www.w3.org/2000/09/xmldsig#sha1"/>
        <DigestValue>4cNjYwakdu8CrrDtc607BrK5XDE=</DigestValue>
      </Reference>
      <Reference URI="/xl/comments11.xml?ContentType=application/vnd.openxmlformats-officedocument.spreadsheetml.comments+xml">
        <DigestMethod Algorithm="http://www.w3.org/2000/09/xmldsig#sha1"/>
        <DigestValue>O6QqmauIFcBYi1hfzibpZju4ycc=</DigestValue>
      </Reference>
      <Reference URI="/xl/worksheets/sheet2.xml?ContentType=application/vnd.openxmlformats-officedocument.spreadsheetml.worksheet+xml">
        <DigestMethod Algorithm="http://www.w3.org/2000/09/xmldsig#sha1"/>
        <DigestValue>tkwDqJD7KpXoesW8wHE3DwJTnE4=</DigestValue>
      </Reference>
      <Reference URI="/xl/comments1.xml?ContentType=application/vnd.openxmlformats-officedocument.spreadsheetml.comments+xml">
        <DigestMethod Algorithm="http://www.w3.org/2000/09/xmldsig#sha1"/>
        <DigestValue>B7tHswValvf9/fyhVy4GoMwzM7Q=</DigestValue>
      </Reference>
      <Reference URI="/xl/worksheets/sheet3.xml?ContentType=application/vnd.openxmlformats-officedocument.spreadsheetml.worksheet+xml">
        <DigestMethod Algorithm="http://www.w3.org/2000/09/xmldsig#sha1"/>
        <DigestValue>DYxyJSQSbEkJNDy1gMcEWzDgMlM=</DigestValue>
      </Reference>
      <Reference URI="/xl/drawings/vmlDrawing12.vml?ContentType=application/vnd.openxmlformats-officedocument.vmlDrawing">
        <DigestMethod Algorithm="http://www.w3.org/2000/09/xmldsig#sha1"/>
        <DigestValue>NHV7OlQlkDoPC6ie9mq9e3mAnxo=</DigestValue>
      </Reference>
      <Reference URI="/xl/comments10.xml?ContentType=application/vnd.openxmlformats-officedocument.spreadsheetml.comments+xml">
        <DigestMethod Algorithm="http://www.w3.org/2000/09/xmldsig#sha1"/>
        <DigestValue>1Rplm2eJqcRVZfJSPcm0wBybo5c=</DigestValue>
      </Reference>
      <Reference URI="/xl/worksheets/sheet4.xml?ContentType=application/vnd.openxmlformats-officedocument.spreadsheetml.worksheet+xml">
        <DigestMethod Algorithm="http://www.w3.org/2000/09/xmldsig#sha1"/>
        <DigestValue>LnnBXTfNed+PeLHTlPnVN28NoJE=</DigestValue>
      </Reference>
      <Reference URI="/xl/printerSettings/printerSettings3.bin?ContentType=application/vnd.openxmlformats-officedocument.spreadsheetml.printerSettings">
        <DigestMethod Algorithm="http://www.w3.org/2000/09/xmldsig#sha1"/>
        <DigestValue>XkW66qH27ZOjTlYusXt0tKJvx4I=</DigestValue>
      </Reference>
      <Reference URI="/xl/workbook.xml?ContentType=application/vnd.openxmlformats-officedocument.spreadsheetml.sheet.main+xml">
        <DigestMethod Algorithm="http://www.w3.org/2000/09/xmldsig#sha1"/>
        <DigestValue>Rhy/0aaVJbdn1COhJWgcZmxrajU=</DigestValue>
      </Reference>
      <Reference URI="/xl/drawings/vmlDrawing11.vml?ContentType=application/vnd.openxmlformats-officedocument.vmlDrawing">
        <DigestMethod Algorithm="http://www.w3.org/2000/09/xmldsig#sha1"/>
        <DigestValue>zf0Mq5Kv0kq/XmedPP3UqHRpyj0=</DigestValue>
      </Reference>
      <Reference URI="/xl/drawings/vmlDrawing10.vml?ContentType=application/vnd.openxmlformats-officedocument.vmlDrawing">
        <DigestMethod Algorithm="http://www.w3.org/2000/09/xmldsig#sha1"/>
        <DigestValue>Ku+oXDh4VmR1MXGjSjfU6++YevQ=</DigestValue>
      </Reference>
      <Reference URI="/xl/drawings/vmlDrawing9.vml?ContentType=application/vnd.openxmlformats-officedocument.vmlDrawing">
        <DigestMethod Algorithm="http://www.w3.org/2000/09/xmldsig#sha1"/>
        <DigestValue>dDsmgha7v/kI3S8btQNkhLragwA=</DigestValue>
      </Reference>
      <Reference URI="/xl/worksheets/sheet13.xml?ContentType=application/vnd.openxmlformats-officedocument.spreadsheetml.worksheet+xml">
        <DigestMethod Algorithm="http://www.w3.org/2000/09/xmldsig#sha1"/>
        <DigestValue>eO4xMj0HjSyGjDblX9XqHRoOW/s=</DigestValue>
      </Reference>
      <Reference URI="/xl/drawings/vmlDrawing2.vml?ContentType=application/vnd.openxmlformats-officedocument.vmlDrawing">
        <DigestMethod Algorithm="http://www.w3.org/2000/09/xmldsig#sha1"/>
        <DigestValue>9puKUnW/E+c68kPNJWpA4ps1Dlk=</DigestValue>
      </Reference>
      <Reference URI="/xl/drawings/vmlDrawing1.vml?ContentType=application/vnd.openxmlformats-officedocument.vmlDrawing">
        <DigestMethod Algorithm="http://www.w3.org/2000/09/xmldsig#sha1"/>
        <DigestValue>98ZtZqyHKX/DqXTsatd/OQs/Kr0=</DigestValue>
      </Reference>
      <Reference URI="/xl/drawings/vmlDrawing7.vml?ContentType=application/vnd.openxmlformats-officedocument.vmlDrawing">
        <DigestMethod Algorithm="http://www.w3.org/2000/09/xmldsig#sha1"/>
        <DigestValue>60hgq4rfeycCDLMnwstDJWJ+lJ0=</DigestValue>
      </Reference>
      <Reference URI="/xl/drawings/vmlDrawing5.vml?ContentType=application/vnd.openxmlformats-officedocument.vmlDrawing">
        <DigestMethod Algorithm="http://www.w3.org/2000/09/xmldsig#sha1"/>
        <DigestValue>Brq6tSRT2Y/48tTJo5VTvJw2OvI=</DigestValue>
      </Reference>
      <Reference URI="/xl/drawings/vmlDrawing6.vml?ContentType=application/vnd.openxmlformats-officedocument.vmlDrawing">
        <DigestMethod Algorithm="http://www.w3.org/2000/09/xmldsig#sha1"/>
        <DigestValue>6MgCWPYfIXSxzVqqskpPHezaa/Q=</DigestValue>
      </Reference>
      <Reference URI="/xl/comments12.xml?ContentType=application/vnd.openxmlformats-officedocument.spreadsheetml.comments+xml">
        <DigestMethod Algorithm="http://www.w3.org/2000/09/xmldsig#sha1"/>
        <DigestValue>X4w/xl+rdLI+m1sN0/px223TFBU=</DigestValue>
      </Reference>
      <Reference URI="/xl/worksheets/sheet1.xml?ContentType=application/vnd.openxmlformats-officedocument.spreadsheetml.worksheet+xml">
        <DigestMethod Algorithm="http://www.w3.org/2000/09/xmldsig#sha1"/>
        <DigestValue>HadnaYFVVADgT1/PNXzkdbfQ5LI=</DigestValue>
      </Reference>
      <Reference URI="/xl/drawings/vmlDrawing8.vml?ContentType=application/vnd.openxmlformats-officedocument.vmlDrawing">
        <DigestMethod Algorithm="http://www.w3.org/2000/09/xmldsig#sha1"/>
        <DigestValue>S8Q8/7ioTMBJttl7UgBk1tN6pb8=</DigestValue>
      </Reference>
      <Reference URI="/xl/printerSettings/printerSettings1.bin?ContentType=application/vnd.openxmlformats-officedocument.spreadsheetml.printerSettings">
        <DigestMethod Algorithm="http://www.w3.org/2000/09/xmldsig#sha1"/>
        <DigestValue>XkW66qH27ZOjTlYusXt0tKJvx4I=</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VN2DgxCBcl6gnBQg32oKpfbQqUQ=</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pZ+kZcte6PmTZdd2QotoXqYlJvE=</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iIvMOFgZz4KayysoUVpOxdAoWh4=</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/xbPA8aUXsNqP1iL1TDKxaBc4PU=</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zQmFRjszBlXyWLAQ1SpKx6v/+lQ=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wEXtrPYdF7SaonKrg2+FeCpxL/w=</DigestValue>
      </Reference>
    </Manifest>
    <SignatureProperties>
      <SignatureProperty Id="idSignatureTime" Target="#idPackageSignature">
        <mdssi:SignatureTime>
          <mdssi:Format>YYYY-MM-DDThh:mm:ssTZD</mdssi:Format>
          <mdssi:Value>2026-03-05T08:11:41Z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2026-03-05T08:11:41Z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8aNtbvlvuRjZEsZ5PX4++ccG6b5332uJQF2NGe8nNlI=</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d5oE6birY5OmRfI/I4UpQyjL6mQVRn2qiaVXQVZXYvg=</DigestValue>
    </Reference>
  </SignedInfo>
  <SignatureValue>oLDZm8U6jj4O47yUV2UBzyk+GknJdZIQarB+VUGrjWI4CV0B10buM6wmR19ZjSinnh2biGawUBCX
tMll2+H6OTePkqwtFCGdi0BI6z4TvX/MoIaZ8cVp5vb7JEY/S54M+5IMRxoXrGx251N7Qz8h2bEJ
TC0YSyFT5MnYmz3AMZS9mIUa5D2FM0IN+oATCJRXjjGdr68W7anS27p0hWMInwHaT1IYlOvsmxDC
PKggTWtCGxgUJ6JU8OKKMvj0YjX8sk7pP0z3ejK8h1ejJZ/eZgnZNhuduPIWTs9g/Pt18CoLcvC2
9tU7I5InJPIJRfaDnrds96RQPG5zPb4OQ+nNQw==</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RHv6wvths29Dpm97gH9cbkxvm1Y1+u5BI6UHi+LfgBw=</DigestValue>
      </Reference>
      <Reference URI="/xl/calcChain.xml?ContentType=application/vnd.openxmlformats-officedocument.spreadsheetml.calcChain+xml">
        <DigestMethod Algorithm="http://www.w3.org/2001/04/xmlenc#sha256"/>
        <DigestValue>4ncUja6kar6eh8gfE1YKcILVgpCXaoXGfetA4zKXp5M=</DigestValue>
      </Reference>
      <Reference URI="/xl/comments1.xml?ContentType=application/vnd.openxmlformats-officedocument.spreadsheetml.comments+xml">
        <DigestMethod Algorithm="http://www.w3.org/2001/04/xmlenc#sha256"/>
        <DigestValue>0Hyqzz1fmyO7KLHqOCA+LWWIGDB0UtFBSd6QGrBVnWk=</DigestValue>
      </Reference>
      <Reference URI="/xl/comments10.xml?ContentType=application/vnd.openxmlformats-officedocument.spreadsheetml.comments+xml">
        <DigestMethod Algorithm="http://www.w3.org/2001/04/xmlenc#sha256"/>
        <DigestValue>x2NoioLekHamvqkTHUg6U8OYZksheH1BtUc2FyKYvcs=</DigestValue>
      </Reference>
      <Reference URI="/xl/comments11.xml?ContentType=application/vnd.openxmlformats-officedocument.spreadsheetml.comments+xml">
        <DigestMethod Algorithm="http://www.w3.org/2001/04/xmlenc#sha256"/>
        <DigestValue>APRmDiNqr0B/wpVoIjoMvXeE9NXLFMQQf3pDzc5CK2w=</DigestValue>
      </Reference>
      <Reference URI="/xl/comments12.xml?ContentType=application/vnd.openxmlformats-officedocument.spreadsheetml.comments+xml">
        <DigestMethod Algorithm="http://www.w3.org/2001/04/xmlenc#sha256"/>
        <DigestValue>d30iYelGLXXa19nNFXoZuNEns+F6A/OHUq0miG+oHKo=</DigestValue>
      </Reference>
      <Reference URI="/xl/comments2.xml?ContentType=application/vnd.openxmlformats-officedocument.spreadsheetml.comments+xml">
        <DigestMethod Algorithm="http://www.w3.org/2001/04/xmlenc#sha256"/>
        <DigestValue>6BqfmUoctHps8E7sIczjCIPEP4CQN+F6vjGWEP/UgBg=</DigestValue>
      </Reference>
      <Reference URI="/xl/comments3.xml?ContentType=application/vnd.openxmlformats-officedocument.spreadsheetml.comments+xml">
        <DigestMethod Algorithm="http://www.w3.org/2001/04/xmlenc#sha256"/>
        <DigestValue>G8DOgWa32rbR0sNJHigBoGfzwFH0AJEra6KJTkMxzKY=</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9Qh19awxx1XcNUIsnXjSlsGFI87rToUt9J6frE1Gb1U=</DigestValue>
      </Reference>
      <Reference URI="/xl/comments6.xml?ContentType=application/vnd.openxmlformats-officedocument.spreadsheetml.comments+xml">
        <DigestMethod Algorithm="http://www.w3.org/2001/04/xmlenc#sha256"/>
        <DigestValue>i5KgXLuwI37l35i+OhXuxd2iXUKbWaomzukDg5KvXI4=</DigestValue>
      </Reference>
      <Reference URI="/xl/comments7.xml?ContentType=application/vnd.openxmlformats-officedocument.spreadsheetml.comments+xml">
        <DigestMethod Algorithm="http://www.w3.org/2001/04/xmlenc#sha256"/>
        <DigestValue>Tw+1G+s6Mcd8YGfkg5GiKQ9YIjp1iZo5Y/bFFJ1gurY=</DigestValue>
      </Reference>
      <Reference URI="/xl/comments8.xml?ContentType=application/vnd.openxmlformats-officedocument.spreadsheetml.comments+xml">
        <DigestMethod Algorithm="http://www.w3.org/2001/04/xmlenc#sha256"/>
        <DigestValue>2YOhjYNOBpBSxfYdEQp29VZM0HnL7LDFbeA+df4fifA=</DigestValue>
      </Reference>
      <Reference URI="/xl/comments9.xml?ContentType=application/vnd.openxmlformats-officedocument.spreadsheetml.comments+xml">
        <DigestMethod Algorithm="http://www.w3.org/2001/04/xmlenc#sha256"/>
        <DigestValue>9GmQkvJyn9mGQEfW4jt/EZ5JN+0lvLfJvOl3M1ZpT+w=</DigestValue>
      </Reference>
      <Reference URI="/xl/drawings/vmlDrawing1.vml?ContentType=application/vnd.openxmlformats-officedocument.vmlDrawing">
        <DigestMethod Algorithm="http://www.w3.org/2001/04/xmlenc#sha256"/>
        <DigestValue>vsGCqDqEsXNFuXI+KWwclksXpNfFsZxRvK7xmykVV8Q=</DigestValue>
      </Reference>
      <Reference URI="/xl/drawings/vmlDrawing10.vml?ContentType=application/vnd.openxmlformats-officedocument.vmlDrawing">
        <DigestMethod Algorithm="http://www.w3.org/2001/04/xmlenc#sha256"/>
        <DigestValue>7cRD/itPfddOOSXd0kvm5LR0AKd7ixyPmy1kfRcR4Fo=</DigestValue>
      </Reference>
      <Reference URI="/xl/drawings/vmlDrawing11.vml?ContentType=application/vnd.openxmlformats-officedocument.vmlDrawing">
        <DigestMethod Algorithm="http://www.w3.org/2001/04/xmlenc#sha256"/>
        <DigestValue>HHsuhsng9ADgsOuPBs4yzmRgc9nUk7+1OEehBMEAbAU=</DigestValue>
      </Reference>
      <Reference URI="/xl/drawings/vmlDrawing12.vml?ContentType=application/vnd.openxmlformats-officedocument.vmlDrawing">
        <DigestMethod Algorithm="http://www.w3.org/2001/04/xmlenc#sha256"/>
        <DigestValue>Hx3uSp/2uPo4/KyCElNtAE2lulppzy44lM1GI+sZxtA=</DigestValue>
      </Reference>
      <Reference URI="/xl/drawings/vmlDrawing2.vml?ContentType=application/vnd.openxmlformats-officedocument.vmlDrawing">
        <DigestMethod Algorithm="http://www.w3.org/2001/04/xmlenc#sha256"/>
        <DigestValue>1SIr7cQl2RjslSVGmYq3zrHOhzaUebPESh7PsyhyR/w=</DigestValue>
      </Reference>
      <Reference URI="/xl/drawings/vmlDrawing3.vml?ContentType=application/vnd.openxmlformats-officedocument.vmlDrawing">
        <DigestMethod Algorithm="http://www.w3.org/2001/04/xmlenc#sha256"/>
        <DigestValue>dr5oWonh+9Qx+dTuw3FzuPX9qII3Iqi4wXutJvyIKcU=</DigestValue>
      </Reference>
      <Reference URI="/xl/drawings/vmlDrawing4.vml?ContentType=application/vnd.openxmlformats-officedocument.vmlDrawing">
        <DigestMethod Algorithm="http://www.w3.org/2001/04/xmlenc#sha256"/>
        <DigestValue>G4E7fqhcs9SOyFa1c65m2JbjOaaT7OszAmi/BUzuvZ8=</DigestValue>
      </Reference>
      <Reference URI="/xl/drawings/vmlDrawing5.vml?ContentType=application/vnd.openxmlformats-officedocument.vmlDrawing">
        <DigestMethod Algorithm="http://www.w3.org/2001/04/xmlenc#sha256"/>
        <DigestValue>FOmG2MRglg58iNv6grvVyslcbXhxKN4bWL9bAtksuBs=</DigestValue>
      </Reference>
      <Reference URI="/xl/drawings/vmlDrawing6.vml?ContentType=application/vnd.openxmlformats-officedocument.vmlDrawing">
        <DigestMethod Algorithm="http://www.w3.org/2001/04/xmlenc#sha256"/>
        <DigestValue>CusxHmKTXnJpKALaXGvzxKSAWLH7mxl2+PlXg96Lhes=</DigestValue>
      </Reference>
      <Reference URI="/xl/drawings/vmlDrawing7.vml?ContentType=application/vnd.openxmlformats-officedocument.vmlDrawing">
        <DigestMethod Algorithm="http://www.w3.org/2001/04/xmlenc#sha256"/>
        <DigestValue>t26GSHsf9AlRDj8q4kRoLQnb0NKkZO+mv9tUTo6vICg=</DigestValue>
      </Reference>
      <Reference URI="/xl/drawings/vmlDrawing8.vml?ContentType=application/vnd.openxmlformats-officedocument.vmlDrawing">
        <DigestMethod Algorithm="http://www.w3.org/2001/04/xmlenc#sha256"/>
        <DigestValue>/swEuMYjWouwTtWTVOGjTE84fknsbmjT1JjiiegcdE0=</DigestValue>
      </Reference>
      <Reference URI="/xl/drawings/vmlDrawing9.vml?ContentType=application/vnd.openxmlformats-officedocument.vmlDrawing">
        <DigestMethod Algorithm="http://www.w3.org/2001/04/xmlenc#sha256"/>
        <DigestValue>c2YLt9Z+KRQkblWDChgRZKusciqEcDA/VI3rTwqVvHE=</DigestValue>
      </Reference>
      <Reference URI="/xl/printerSettings/printerSettings1.bin?ContentType=application/vnd.openxmlformats-officedocument.spreadsheetml.printerSettings">
        <DigestMethod Algorithm="http://www.w3.org/2001/04/xmlenc#sha256"/>
        <DigestValue>aHKm0PfHplIhLh2QTUZZvX/EmKP8hCbejmoLU3fpgus=</DigestValue>
      </Reference>
      <Reference URI="/xl/printerSettings/printerSettings2.bin?ContentType=application/vnd.openxmlformats-officedocument.spreadsheetml.printerSettings">
        <DigestMethod Algorithm="http://www.w3.org/2001/04/xmlenc#sha256"/>
        <DigestValue>aHKm0PfHplIhLh2QTUZZvX/EmKP8hCbejmoLU3fpgus=</DigestValue>
      </Reference>
      <Reference URI="/xl/printerSettings/printerSettings3.bin?ContentType=application/vnd.openxmlformats-officedocument.spreadsheetml.printerSettings">
        <DigestMethod Algorithm="http://www.w3.org/2001/04/xmlenc#sha256"/>
        <DigestValue>aHKm0PfHplIhLh2QTUZZvX/EmKP8hCbejmoLU3fpgus=</DigestValue>
      </Reference>
      <Reference URI="/xl/printerSettings/printerSettings4.bin?ContentType=application/vnd.openxmlformats-officedocument.spreadsheetml.printerSettings">
        <DigestMethod Algorithm="http://www.w3.org/2001/04/xmlenc#sha256"/>
        <DigestValue>aHKm0PfHplIhLh2QTUZZvX/EmKP8hCbejmoLU3fpgus=</DigestValue>
      </Reference>
      <Reference URI="/xl/printerSettings/printerSettings5.bin?ContentType=application/vnd.openxmlformats-officedocument.spreadsheetml.printerSettings">
        <DigestMethod Algorithm="http://www.w3.org/2001/04/xmlenc#sha256"/>
        <DigestValue>aHKm0PfHplIhLh2QTUZZvX/EmKP8hCbejmoLU3fpgus=</DigestValue>
      </Reference>
      <Reference URI="/xl/sharedStrings.xml?ContentType=application/vnd.openxmlformats-officedocument.spreadsheetml.sharedStrings+xml">
        <DigestMethod Algorithm="http://www.w3.org/2001/04/xmlenc#sha256"/>
        <DigestValue>moKQ//6RJxAW30tAVkmX183dvJlTcUcfnuw45lX9x2c=</DigestValue>
      </Reference>
      <Reference URI="/xl/styles.xml?ContentType=application/vnd.openxmlformats-officedocument.spreadsheetml.styles+xml">
        <DigestMethod Algorithm="http://www.w3.org/2001/04/xmlenc#sha256"/>
        <DigestValue>Qh0rwg64DKdJxTfAIWhfk8nFwrvINosaCSg7yHWkVCQ=</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bLLYQsEhe+k2u7WDURAHoXQ1GifjMVFLuNWC7GpnbgE=</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x3g4TAG1cwBL+YXX1MKMZrji7XIRXbHCczOtMs02jhY=</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3LGHJcwwP5qHp0ojw8pTFHgvfdIe72BR7GBN09dcrUI=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G6xzDQ/q+T/NeNtIDqGEyVuacc21UHc3llpOipeu/Hc=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kjQjIRSy0BeDFiM4gyforj2vN0RYq2NbXCzLk5eKdNM=</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5cyBscoFLqkJoNtdYLo7hSIT3O+PTsHGSFGnV5HUELU=</DigestValue>
      </Reference>
      <Reference URI="/xl/worksheets/sheet10.xml?ContentType=application/vnd.openxmlformats-officedocument.spreadsheetml.worksheet+xml">
        <DigestMethod Algorithm="http://www.w3.org/2001/04/xmlenc#sha256"/>
        <DigestValue>43rpGV/Bor4wNefEAQuGyzMuPn/snZ1a/2SJM6yycuE=</DigestValue>
      </Reference>
      <Reference URI="/xl/worksheets/sheet11.xml?ContentType=application/vnd.openxmlformats-officedocument.spreadsheetml.worksheet+xml">
        <DigestMethod Algorithm="http://www.w3.org/2001/04/xmlenc#sha256"/>
        <DigestValue>8jSqnHGVlH4H4/wqxzmZewmZHgZXAHRqDNXM4UwLn/k=</DigestValue>
      </Reference>
      <Reference URI="/xl/worksheets/sheet12.xml?ContentType=application/vnd.openxmlformats-officedocument.spreadsheetml.worksheet+xml">
        <DigestMethod Algorithm="http://www.w3.org/2001/04/xmlenc#sha256"/>
        <DigestValue>P9F3CbNtO5Z93kUf8aOx5i2bZwr1GEdWGimLrOu4BX4=</DigestValue>
      </Reference>
      <Reference URI="/xl/worksheets/sheet13.xml?ContentType=application/vnd.openxmlformats-officedocument.spreadsheetml.worksheet+xml">
        <DigestMethod Algorithm="http://www.w3.org/2001/04/xmlenc#sha256"/>
        <DigestValue>CvBqaQEFzoqlCO1xmx2OROeta/LPsKOb+IDq0cy5gcs=</DigestValue>
      </Reference>
      <Reference URI="/xl/worksheets/sheet14.xml?ContentType=application/vnd.openxmlformats-officedocument.spreadsheetml.worksheet+xml">
        <DigestMethod Algorithm="http://www.w3.org/2001/04/xmlenc#sha256"/>
        <DigestValue>TnMEvrcIPJbS8SH4iFXblxljA8RMrYYHVwPyIztHFQY=</DigestValue>
      </Reference>
      <Reference URI="/xl/worksheets/sheet2.xml?ContentType=application/vnd.openxmlformats-officedocument.spreadsheetml.worksheet+xml">
        <DigestMethod Algorithm="http://www.w3.org/2001/04/xmlenc#sha256"/>
        <DigestValue>wGzDgI7A0vrETXfdKmgigTO9kSp97oIv5/GnBEjuWFw=</DigestValue>
      </Reference>
      <Reference URI="/xl/worksheets/sheet3.xml?ContentType=application/vnd.openxmlformats-officedocument.spreadsheetml.worksheet+xml">
        <DigestMethod Algorithm="http://www.w3.org/2001/04/xmlenc#sha256"/>
        <DigestValue>WcE/mBFuNH4Gw7P9E+MvcQ04vUUpzUsQGa5l2bINRBg=</DigestValue>
      </Reference>
      <Reference URI="/xl/worksheets/sheet4.xml?ContentType=application/vnd.openxmlformats-officedocument.spreadsheetml.worksheet+xml">
        <DigestMethod Algorithm="http://www.w3.org/2001/04/xmlenc#sha256"/>
        <DigestValue>mXCs8qniDQ0dbW3L8ilqCtDWCm9Z05M4l7zz5drAwAY=</DigestValue>
      </Reference>
      <Reference URI="/xl/worksheets/sheet5.xml?ContentType=application/vnd.openxmlformats-officedocument.spreadsheetml.worksheet+xml">
        <DigestMethod Algorithm="http://www.w3.org/2001/04/xmlenc#sha256"/>
        <DigestValue>T27H/Fl0Rt6KFJX/+eGCFcFtVeeUAaxWSY9oywkxdKQ=</DigestValue>
      </Reference>
      <Reference URI="/xl/worksheets/sheet6.xml?ContentType=application/vnd.openxmlformats-officedocument.spreadsheetml.worksheet+xml">
        <DigestMethod Algorithm="http://www.w3.org/2001/04/xmlenc#sha256"/>
        <DigestValue>C+MqFKuky3b+U7fRa/5nHkxf3FviAPl+iL2Y3cPa8sM=</DigestValue>
      </Reference>
      <Reference URI="/xl/worksheets/sheet7.xml?ContentType=application/vnd.openxmlformats-officedocument.spreadsheetml.worksheet+xml">
        <DigestMethod Algorithm="http://www.w3.org/2001/04/xmlenc#sha256"/>
        <DigestValue>zO9rnB+znotDj0N7UZMkENMQJ5tewQaQ7gOYFG+6j7E=</DigestValue>
      </Reference>
      <Reference URI="/xl/worksheets/sheet8.xml?ContentType=application/vnd.openxmlformats-officedocument.spreadsheetml.worksheet+xml">
        <DigestMethod Algorithm="http://www.w3.org/2001/04/xmlenc#sha256"/>
        <DigestValue>SfsbWEOtdGzI1WlMzDPo+zgVY+NvDb7lFIhN2ZHKW3M=</DigestValue>
      </Reference>
      <Reference URI="/xl/worksheets/sheet9.xml?ContentType=application/vnd.openxmlformats-officedocument.spreadsheetml.worksheet+xml">
        <DigestMethod Algorithm="http://www.w3.org/2001/04/xmlenc#sha256"/>
        <DigestValue>J6VMJx5cDqCCPlg7C6d+bCZOQF475jK7mfwS1p+Is9w=</DigestValue>
      </Reference>
    </Manifest>
    <SignatureProperties>
      <SignatureProperty Id="idSignatureTime" Target="#idPackageSignature">
        <mdssi:SignatureTime xmlns:mdssi="http://schemas.openxmlformats.org/package/2006/digital-signature">
          <mdssi:Format>YYYY-MM-DDThh:mm:ssTZD</mdssi:Format>
          <mdssi:Value>2026-03-06T09:44:06Z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2026-03-06T09:44:06Z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Tong quat</vt:lpstr>
      <vt:lpstr>BCTaiSan_06134</vt:lpstr>
      <vt:lpstr>BCKetQuaHoatDong_06135</vt:lpstr>
      <vt:lpstr>BCDanhMucDauTu_06136</vt:lpstr>
      <vt:lpstr>BCHDVay_GDMuaBanLai</vt:lpstr>
      <vt:lpstr>Khac_06137</vt:lpstr>
      <vt:lpstr>ThongKePhiGiaoDich_06145</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Tu Anh</dc:creator>
  <cp:lastModifiedBy>Pham Thi Khanh Linh</cp:lastModifiedBy>
  <dcterms:created xsi:type="dcterms:W3CDTF">2021-06-07T10:37:31Z</dcterms:created>
  <dcterms:modified xsi:type="dcterms:W3CDTF">2026-03-06T09:43:49Z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